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matsonincorporated-my.sharepoint.com/personal/gelias_matson_com/Documents/Desktop/LCL Rates/"/>
    </mc:Choice>
  </mc:AlternateContent>
  <bookViews>
    <workbookView xWindow="0" yWindow="0" windowWidth="25200" windowHeight="11880"/>
  </bookViews>
  <sheets>
    <sheet name="Freight Calculator" sheetId="3" r:id="rId1"/>
    <sheet name="Trucking Rates"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 i="3" l="1"/>
  <c r="D19" i="2" s="1"/>
  <c r="F19" i="2" l="1"/>
  <c r="E19" i="2"/>
  <c r="D18" i="2"/>
  <c r="D21" i="2"/>
  <c r="D17" i="2"/>
  <c r="D20" i="2"/>
  <c r="D22" i="2"/>
  <c r="J7" i="3"/>
  <c r="P7" i="3" s="1"/>
  <c r="M25" i="2"/>
  <c r="M26" i="2" s="1"/>
  <c r="G19" i="2" l="1"/>
  <c r="H19" i="2" s="1"/>
  <c r="F22" i="2"/>
  <c r="E22" i="2"/>
  <c r="E17" i="2"/>
  <c r="F17" i="2"/>
  <c r="E21" i="2"/>
  <c r="F21" i="2"/>
  <c r="F20" i="2"/>
  <c r="E20" i="2"/>
  <c r="E18" i="2"/>
  <c r="F18" i="2"/>
  <c r="O7" i="3"/>
  <c r="C29" i="2"/>
  <c r="C30" i="2"/>
  <c r="C31" i="2"/>
  <c r="C32" i="2"/>
  <c r="C33" i="2"/>
  <c r="C28" i="2"/>
  <c r="G20" i="2" l="1"/>
  <c r="H20" i="2" s="1"/>
  <c r="G18" i="2"/>
  <c r="H18" i="2" s="1"/>
  <c r="G21" i="2"/>
  <c r="G17" i="2"/>
  <c r="H17" i="2" s="1"/>
  <c r="G22" i="2"/>
  <c r="H22" i="2" s="1"/>
  <c r="E27" i="2"/>
  <c r="H21" i="2" l="1"/>
  <c r="H28" i="3"/>
  <c r="F27" i="2" l="1"/>
  <c r="W7" i="3" l="1"/>
  <c r="D3" i="2" l="1"/>
  <c r="F3" i="2" s="1"/>
  <c r="E3" i="2" l="1"/>
  <c r="G3" i="2" s="1"/>
  <c r="D4" i="2"/>
  <c r="E4" i="2" s="1"/>
  <c r="AB9" i="3"/>
  <c r="D5" i="2"/>
  <c r="E5" i="2" s="1"/>
  <c r="D6" i="2"/>
  <c r="F6" i="2" s="1"/>
  <c r="D7" i="2"/>
  <c r="F7" i="2" s="1"/>
  <c r="D8" i="2"/>
  <c r="F8" i="2" s="1"/>
  <c r="D9" i="2"/>
  <c r="F9" i="2" s="1"/>
  <c r="D10" i="2"/>
  <c r="F10" i="2" s="1"/>
  <c r="D11" i="2"/>
  <c r="E11" i="2" s="1"/>
  <c r="D12" i="2"/>
  <c r="E12" i="2" s="1"/>
  <c r="D13" i="2"/>
  <c r="E13" i="2" s="1"/>
  <c r="D14" i="2"/>
  <c r="F14" i="2" s="1"/>
  <c r="D15" i="2"/>
  <c r="F15" i="2" s="1"/>
  <c r="D16" i="2"/>
  <c r="F16" i="2" s="1"/>
  <c r="AB8" i="3"/>
  <c r="H3" i="2" l="1"/>
  <c r="E45" i="3" s="1"/>
  <c r="AC13" i="2" s="1"/>
  <c r="E14" i="2"/>
  <c r="G14" i="2" s="1"/>
  <c r="H14" i="2" s="1"/>
  <c r="E10" i="2"/>
  <c r="G10" i="2" s="1"/>
  <c r="H10" i="2" s="1"/>
  <c r="E6" i="2"/>
  <c r="G6" i="2" s="1"/>
  <c r="H6" i="2" s="1"/>
  <c r="E16" i="2"/>
  <c r="G16" i="2" s="1"/>
  <c r="H16" i="2" s="1"/>
  <c r="E9" i="2"/>
  <c r="G9" i="2" s="1"/>
  <c r="H9" i="2" s="1"/>
  <c r="F13" i="2"/>
  <c r="G13" i="2" s="1"/>
  <c r="H13" i="2" s="1"/>
  <c r="F5" i="2"/>
  <c r="G5" i="2" s="1"/>
  <c r="H5" i="2" s="1"/>
  <c r="E15" i="2"/>
  <c r="G15" i="2" s="1"/>
  <c r="H15" i="2" s="1"/>
  <c r="E8" i="2"/>
  <c r="G8" i="2" s="1"/>
  <c r="H8" i="2" s="1"/>
  <c r="F12" i="2"/>
  <c r="G12" i="2" s="1"/>
  <c r="H12" i="2" s="1"/>
  <c r="E7" i="2"/>
  <c r="G7" i="2" s="1"/>
  <c r="H7" i="2" s="1"/>
  <c r="F11" i="2"/>
  <c r="G11" i="2" s="1"/>
  <c r="H11" i="2" s="1"/>
  <c r="F4" i="2"/>
  <c r="G4" i="2" s="1"/>
  <c r="H4" i="2" s="1"/>
  <c r="AB10" i="3"/>
  <c r="O16" i="2"/>
  <c r="P16" i="2"/>
  <c r="Q16" i="2"/>
  <c r="R16" i="2"/>
  <c r="N16" i="2"/>
  <c r="E44" i="3" l="1"/>
  <c r="H44" i="3" s="1"/>
  <c r="X7" i="3"/>
  <c r="AC3" i="2" l="1"/>
  <c r="H45" i="3"/>
  <c r="AC4" i="2"/>
  <c r="AC12" i="2"/>
  <c r="AC5" i="2"/>
  <c r="AC6" i="2"/>
  <c r="AC7" i="2"/>
  <c r="AC8" i="2"/>
  <c r="AC9" i="2"/>
  <c r="AC10" i="2"/>
  <c r="AC11" i="2"/>
  <c r="E46" i="3" s="1"/>
  <c r="H46" i="3" l="1"/>
  <c r="U7" i="3"/>
  <c r="E42" i="3" l="1"/>
  <c r="H42" i="3" s="1"/>
  <c r="G21" i="3"/>
  <c r="H21" i="3" s="1"/>
  <c r="G20" i="3"/>
  <c r="H20" i="3" s="1"/>
  <c r="K7" i="3"/>
  <c r="E22" i="3" s="1"/>
  <c r="N7" i="3"/>
  <c r="E33" i="3" l="1"/>
  <c r="F33" i="3" s="1"/>
  <c r="H33" i="3" s="1"/>
  <c r="Q7" i="3"/>
  <c r="E19" i="3" s="1"/>
  <c r="G22" i="3"/>
  <c r="H22" i="3" s="1"/>
  <c r="L7" i="3"/>
  <c r="M7" i="3" s="1"/>
  <c r="V7" i="3" l="1"/>
  <c r="Y7" i="3" s="1"/>
  <c r="E27" i="3" s="1"/>
  <c r="G27" i="3" s="1"/>
  <c r="H27" i="3" s="1"/>
  <c r="R7" i="3"/>
  <c r="S7" i="3" s="1"/>
  <c r="T7" i="3" s="1"/>
  <c r="Z9" i="3" s="1"/>
  <c r="G19" i="3"/>
  <c r="H19" i="3" s="1"/>
  <c r="E26" i="3" l="1"/>
  <c r="F26" i="3" s="1"/>
  <c r="G26" i="3" s="1"/>
  <c r="H26" i="3" s="1"/>
  <c r="H29" i="3" s="1"/>
  <c r="Z7" i="3"/>
  <c r="AA7" i="3" s="1"/>
  <c r="H23" i="3"/>
  <c r="T3" i="2" l="1"/>
  <c r="V3" i="2" s="1"/>
  <c r="X3" i="2" s="1"/>
  <c r="Z3" i="2" s="1"/>
  <c r="T13" i="2"/>
  <c r="V13" i="2" s="1"/>
  <c r="X13" i="2" s="1"/>
  <c r="Z13" i="2" s="1"/>
  <c r="T8" i="2"/>
  <c r="V8" i="2" s="1"/>
  <c r="X8" i="2" s="1"/>
  <c r="Z8" i="2" s="1"/>
  <c r="T5" i="2"/>
  <c r="V5" i="2" s="1"/>
  <c r="X5" i="2" s="1"/>
  <c r="Z5" i="2" s="1"/>
  <c r="T7" i="2"/>
  <c r="V7" i="2" s="1"/>
  <c r="X7" i="2" s="1"/>
  <c r="Z7" i="2" s="1"/>
  <c r="T10" i="2"/>
  <c r="V10" i="2" s="1"/>
  <c r="X10" i="2" s="1"/>
  <c r="Z10" i="2" s="1"/>
  <c r="T9" i="2"/>
  <c r="V9" i="2" s="1"/>
  <c r="X9" i="2" s="1"/>
  <c r="Z9" i="2" s="1"/>
  <c r="T4" i="2"/>
  <c r="V4" i="2" s="1"/>
  <c r="X4" i="2" s="1"/>
  <c r="Z4" i="2" s="1"/>
  <c r="T12" i="2"/>
  <c r="V12" i="2" s="1"/>
  <c r="X12" i="2" s="1"/>
  <c r="Z12" i="2" s="1"/>
  <c r="T11" i="2"/>
  <c r="V11" i="2" s="1"/>
  <c r="X11" i="2" s="1"/>
  <c r="Z11" i="2" s="1"/>
  <c r="T6" i="2"/>
  <c r="V6" i="2" s="1"/>
  <c r="X6" i="2" s="1"/>
  <c r="Z6" i="2" s="1"/>
  <c r="F32" i="3" l="1"/>
  <c r="G32" i="3" s="1"/>
  <c r="H32" i="3" s="1"/>
  <c r="G34" i="3" l="1"/>
  <c r="H34" i="3" s="1"/>
  <c r="H35" i="3" s="1"/>
  <c r="H37" i="3" s="1"/>
  <c r="G39" i="3" s="1"/>
  <c r="H39" i="3" l="1"/>
</calcChain>
</file>

<file path=xl/sharedStrings.xml><?xml version="1.0" encoding="utf-8"?>
<sst xmlns="http://schemas.openxmlformats.org/spreadsheetml/2006/main" count="132" uniqueCount="123">
  <si>
    <t>LBS</t>
  </si>
  <si>
    <t>L &amp; D Factor</t>
  </si>
  <si>
    <t>Handling Charge</t>
  </si>
  <si>
    <t>Port Security</t>
  </si>
  <si>
    <t>Pier Pass</t>
  </si>
  <si>
    <t>Forklift Charge</t>
  </si>
  <si>
    <t>Fuel Surcharge</t>
  </si>
  <si>
    <t>Doc Fee</t>
  </si>
  <si>
    <t>Chargeable Wt / 100</t>
  </si>
  <si>
    <t>Pallet Fee (**EST**)</t>
  </si>
  <si>
    <t>Ocean Freight</t>
  </si>
  <si>
    <t>Destination CFS Charges</t>
  </si>
  <si>
    <t>Trucking Charges</t>
  </si>
  <si>
    <t>Sub Total</t>
  </si>
  <si>
    <t>Grand Total</t>
  </si>
  <si>
    <t>TTL Cubic IN</t>
  </si>
  <si>
    <t>TTL CUFT</t>
  </si>
  <si>
    <t>TTL KGS</t>
  </si>
  <si>
    <t>TTL CTNS</t>
  </si>
  <si>
    <t>TTL LBS</t>
  </si>
  <si>
    <t>Shanghai</t>
  </si>
  <si>
    <t>Ningbo</t>
  </si>
  <si>
    <t>Shenzhen</t>
  </si>
  <si>
    <t>Guangzhou</t>
  </si>
  <si>
    <t>Qingdao</t>
  </si>
  <si>
    <t>Tianjin</t>
  </si>
  <si>
    <t>Dalian</t>
  </si>
  <si>
    <t>Xiamen</t>
  </si>
  <si>
    <t>Fuzhou</t>
  </si>
  <si>
    <t>Xi'an</t>
  </si>
  <si>
    <t>Hong Kong</t>
  </si>
  <si>
    <t>TTL CBM</t>
  </si>
  <si>
    <t>ORIGIN</t>
  </si>
  <si>
    <t>Origin Rate Factor</t>
  </si>
  <si>
    <t>Quoted O/F RATE</t>
  </si>
  <si>
    <t>Total Cartons</t>
  </si>
  <si>
    <t>AIR Vol Et (kgs)</t>
  </si>
  <si>
    <t>Air Chargeable Wt (Kgs)</t>
  </si>
  <si>
    <t>NJ</t>
  </si>
  <si>
    <t>Chicago</t>
  </si>
  <si>
    <t>NYC Metro</t>
  </si>
  <si>
    <t>Little Rock Metro</t>
  </si>
  <si>
    <t>Dallas / Fort Worth</t>
  </si>
  <si>
    <t>Memphis Metro</t>
  </si>
  <si>
    <t>Eastern PA</t>
  </si>
  <si>
    <t>Baltimore Metro</t>
  </si>
  <si>
    <t>DC Metro</t>
  </si>
  <si>
    <t>Destination &amp; Zip Code Range</t>
  </si>
  <si>
    <t>Minimum</t>
  </si>
  <si>
    <t>100 LBS</t>
  </si>
  <si>
    <t>1000 LBS</t>
  </si>
  <si>
    <t>3000 LBS</t>
  </si>
  <si>
    <t>5000 LBS</t>
  </si>
  <si>
    <t>10000 LBS</t>
  </si>
  <si>
    <t>Trucking Hundred Rate</t>
  </si>
  <si>
    <t>Trucking Charge</t>
  </si>
  <si>
    <t>Total Weight (Kgs)</t>
  </si>
  <si>
    <t>Total CBM</t>
  </si>
  <si>
    <t>LA / Long Beach CFS</t>
  </si>
  <si>
    <t>100-999</t>
  </si>
  <si>
    <t>1000-2999</t>
  </si>
  <si>
    <t>3000-4999</t>
  </si>
  <si>
    <t>5000-9999</t>
  </si>
  <si>
    <t>10000+</t>
  </si>
  <si>
    <t>Cargo Ready Date</t>
  </si>
  <si>
    <t>CRD</t>
  </si>
  <si>
    <t>CFS C/O</t>
  </si>
  <si>
    <t>ETD</t>
  </si>
  <si>
    <t>Estimated Sail Date from Origin</t>
  </si>
  <si>
    <t>Estimated Arrival @ Final Destination</t>
  </si>
  <si>
    <t>Schedule:</t>
  </si>
  <si>
    <t>Trucking Rate</t>
  </si>
  <si>
    <t>Origin</t>
  </si>
  <si>
    <t>Transit</t>
  </si>
  <si>
    <t>Zhengzhou</t>
  </si>
  <si>
    <t>Chongqing</t>
  </si>
  <si>
    <t>Chengdu</t>
  </si>
  <si>
    <t>Trucking Charge w/ Min Factor</t>
  </si>
  <si>
    <t>Dest Transit</t>
  </si>
  <si>
    <t>Cargo Receiving Cutoff</t>
  </si>
  <si>
    <t>FND ETA</t>
  </si>
  <si>
    <t>Shipping Schedule</t>
  </si>
  <si>
    <t>Transit Time (Calendar Days)</t>
  </si>
  <si>
    <t>Select Origin</t>
  </si>
  <si>
    <t>Select Destination</t>
  </si>
  <si>
    <r>
      <t xml:space="preserve">Fuel Surcharge </t>
    </r>
    <r>
      <rPr>
        <sz val="8"/>
        <color theme="1"/>
        <rFont val="Calibri"/>
        <family val="2"/>
        <scheme val="minor"/>
      </rPr>
      <t>(1)</t>
    </r>
  </si>
  <si>
    <t>(1) FSC is subject to change and will be confirmed at time of booking</t>
  </si>
  <si>
    <t>To make a booking, please contact MLsupplychain_nvocc@matson.com</t>
  </si>
  <si>
    <t>FINAL DESTINATION</t>
  </si>
  <si>
    <r>
      <rPr>
        <b/>
        <u/>
        <sz val="14"/>
        <color rgb="FF002060"/>
        <rFont val="Calibri"/>
        <family val="2"/>
        <scheme val="minor"/>
      </rPr>
      <t>Step 1</t>
    </r>
    <r>
      <rPr>
        <b/>
        <sz val="12"/>
        <color rgb="FF002060"/>
        <rFont val="Calibri"/>
        <family val="2"/>
        <scheme val="minor"/>
      </rPr>
      <t>: Enter your shipment Total weight in KGS, Total CBM &amp; Total Cartons</t>
    </r>
  </si>
  <si>
    <r>
      <rPr>
        <b/>
        <u/>
        <sz val="14"/>
        <color rgb="FF002060"/>
        <rFont val="Calibri"/>
        <family val="2"/>
        <scheme val="minor"/>
      </rPr>
      <t>Step 2</t>
    </r>
    <r>
      <rPr>
        <b/>
        <sz val="12"/>
        <color rgb="FF002060"/>
        <rFont val="Calibri"/>
        <family val="2"/>
        <scheme val="minor"/>
      </rPr>
      <t>: Select your Origin Point from the drop down list</t>
    </r>
  </si>
  <si>
    <r>
      <rPr>
        <b/>
        <u/>
        <sz val="14"/>
        <color rgb="FF002060"/>
        <rFont val="Calibri"/>
        <family val="2"/>
        <scheme val="minor"/>
      </rPr>
      <t>Step 3</t>
    </r>
    <r>
      <rPr>
        <b/>
        <sz val="12"/>
        <color rgb="FF002060"/>
        <rFont val="Calibri"/>
        <family val="2"/>
        <scheme val="minor"/>
      </rPr>
      <t>: Select your Final Destination Point from the drop down list</t>
    </r>
  </si>
  <si>
    <t>Per KG Rate (For easy comparison to Air Freight)</t>
  </si>
  <si>
    <t>CBM w/ PLT VOL</t>
  </si>
  <si>
    <t>PLT LBS</t>
  </si>
  <si>
    <t>CUSTOMER</t>
  </si>
  <si>
    <t>BALLET GROUP INC.</t>
  </si>
  <si>
    <t>NINE WEST</t>
  </si>
  <si>
    <t>IN MOCEAN GROUP</t>
  </si>
  <si>
    <t>AMIEE LYNN</t>
  </si>
  <si>
    <t>G.M.A. ACCESSORIES, INC.</t>
  </si>
  <si>
    <t>OTHER</t>
  </si>
  <si>
    <t>%</t>
  </si>
  <si>
    <t>Volume Increase</t>
  </si>
  <si>
    <t>Trucking Vol Wt with Volume Increase</t>
  </si>
  <si>
    <r>
      <rPr>
        <b/>
        <u/>
        <sz val="14"/>
        <color rgb="FF002060"/>
        <rFont val="Calibri"/>
        <family val="2"/>
        <scheme val="minor"/>
      </rPr>
      <t>Step 4</t>
    </r>
    <r>
      <rPr>
        <b/>
        <sz val="12"/>
        <color rgb="FF002060"/>
        <rFont val="Calibri"/>
        <family val="2"/>
        <scheme val="minor"/>
      </rPr>
      <t>: Select Customer from the drop down list</t>
    </r>
  </si>
  <si>
    <t>Select Customer</t>
  </si>
  <si>
    <t>"+4%</t>
  </si>
  <si>
    <t>PALLETIZED FREIGHT</t>
  </si>
  <si>
    <t>LCL EXPEDITED LCL FREIGHT ESTIMATE CALCULATOR</t>
  </si>
  <si>
    <t>(2) The US domestic truck rate provided at the time of our rate quote is an estimated amount.   The billed US domestic truck rate will be based upon the greater of the gross weight versus volume weight based on the actual measurement of freight once tendered into our possession.</t>
  </si>
  <si>
    <t>Hanoi</t>
  </si>
  <si>
    <t>Haiphong</t>
  </si>
  <si>
    <t>Bac Ninh</t>
  </si>
  <si>
    <t>Ho Chi Minh</t>
  </si>
  <si>
    <t>500K</t>
  </si>
  <si>
    <t>Bangkok</t>
  </si>
  <si>
    <t>Chonburi</t>
  </si>
  <si>
    <t>Light Chargeable O/F</t>
  </si>
  <si>
    <t>Dense Chargeable O/F</t>
  </si>
  <si>
    <t>Shelton, CT</t>
  </si>
  <si>
    <t>10/15/2021</t>
  </si>
  <si>
    <t>RATES EFFECTIVE 10/15/21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</si>
</sst>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F800]dddd\,\ mmmm\ dd\,\ yyyy"/>
    <numFmt numFmtId="165" formatCode="0.00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rgb="FF002060"/>
      <name val="Calibri"/>
      <family val="2"/>
      <scheme val="minor"/>
    </font>
    <font>
      <sz val="12"/>
      <color theme="1"/>
      <name val="Calibri"/>
      <family val="2"/>
      <scheme val="minor"/>
    </font>
    <font>
      <b/>
      <sz val="12"/>
      <color theme="8" tint="-0.249977111117893"/>
      <name val="Calibri"/>
      <family val="2"/>
      <scheme val="minor"/>
    </font>
    <font>
      <b/>
      <sz val="12"/>
      <color theme="1"/>
      <name val="Calibri"/>
      <family val="2"/>
      <scheme val="minor"/>
    </font>
    <font>
      <sz val="12"/>
      <color rgb="FFFF0000"/>
      <name val="Calibri"/>
      <family val="2"/>
      <scheme val="minor"/>
    </font>
    <font>
      <sz val="12"/>
      <color theme="1" tint="0.499984740745262"/>
      <name val="Wingdings 3"/>
      <family val="1"/>
      <charset val="2"/>
    </font>
    <font>
      <sz val="14"/>
      <color theme="1"/>
      <name val="Calibri"/>
      <family val="2"/>
      <scheme val="minor"/>
    </font>
    <font>
      <sz val="14"/>
      <color theme="0"/>
      <name val="Calibri"/>
      <family val="2"/>
      <scheme val="minor"/>
    </font>
    <font>
      <b/>
      <sz val="12"/>
      <color rgb="FF0000FF"/>
      <name val="Calibri"/>
      <family val="2"/>
      <scheme val="minor"/>
    </font>
    <font>
      <sz val="12"/>
      <color rgb="FF0000FF"/>
      <name val="Calibri"/>
      <family val="2"/>
      <scheme val="minor"/>
    </font>
    <font>
      <sz val="8"/>
      <color theme="1"/>
      <name val="Calibri"/>
      <family val="2"/>
      <scheme val="minor"/>
    </font>
    <font>
      <b/>
      <sz val="18"/>
      <color theme="1"/>
      <name val="Calibri"/>
      <family val="2"/>
      <scheme val="minor"/>
    </font>
    <font>
      <b/>
      <u/>
      <sz val="14"/>
      <color rgb="FF002060"/>
      <name val="Calibri"/>
      <family val="2"/>
      <scheme val="minor"/>
    </font>
    <font>
      <b/>
      <sz val="26"/>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2" tint="-0.74999237037263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Down="1">
      <left style="thin">
        <color theme="0"/>
      </left>
      <right style="thin">
        <color theme="0"/>
      </right>
      <top style="thin">
        <color theme="0"/>
      </top>
      <bottom style="thin">
        <color theme="0"/>
      </bottom>
      <diagonal style="thin">
        <color theme="0"/>
      </diagonal>
    </border>
    <border diagonalDown="1">
      <left/>
      <right style="thin">
        <color theme="0"/>
      </right>
      <top style="thin">
        <color theme="0"/>
      </top>
      <bottom style="thin">
        <color theme="0"/>
      </bottom>
      <diagonal style="thin">
        <color theme="0"/>
      </diagonal>
    </border>
    <border diagonalDown="1">
      <left style="thin">
        <color theme="0"/>
      </left>
      <right style="thin">
        <color theme="0"/>
      </right>
      <top/>
      <bottom style="thin">
        <color theme="0"/>
      </bottom>
      <diagonal style="thin">
        <color theme="0"/>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diagonalDown="1">
      <left/>
      <right style="thin">
        <color theme="0"/>
      </right>
      <top/>
      <bottom style="thin">
        <color theme="0"/>
      </bottom>
      <diagonal style="thin">
        <color theme="0"/>
      </diagonal>
    </border>
    <border>
      <left style="thin">
        <color theme="0"/>
      </left>
      <right/>
      <top style="thin">
        <color theme="0"/>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thin">
        <color theme="0"/>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theme="0"/>
      </right>
      <top/>
      <bottom/>
      <diagonal/>
    </border>
    <border>
      <left style="thin">
        <color theme="0"/>
      </left>
      <right style="medium">
        <color indexed="64"/>
      </right>
      <top style="thin">
        <color theme="0"/>
      </top>
      <bottom/>
      <diagonal/>
    </border>
    <border>
      <left style="thin">
        <color indexed="64"/>
      </left>
      <right style="medium">
        <color indexed="64"/>
      </right>
      <top style="thin">
        <color indexed="64"/>
      </top>
      <bottom style="thin">
        <color indexed="64"/>
      </bottom>
      <diagonal/>
    </border>
    <border>
      <left style="thin">
        <color theme="0"/>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right/>
      <top style="thin">
        <color theme="0"/>
      </top>
      <bottom style="thin">
        <color theme="0"/>
      </bottom>
      <diagonal style="thin">
        <color theme="0"/>
      </diagonal>
    </border>
    <border diagonalDown="1">
      <left style="thin">
        <color theme="0"/>
      </left>
      <right style="thin">
        <color theme="0"/>
      </right>
      <top style="thin">
        <color theme="0"/>
      </top>
      <bottom/>
      <diagonal style="thin">
        <color theme="0"/>
      </diagonal>
    </border>
    <border>
      <left/>
      <right style="medium">
        <color indexed="64"/>
      </right>
      <top style="thin">
        <color indexed="64"/>
      </top>
      <bottom style="thin">
        <color indexed="64"/>
      </bottom>
      <diagonal/>
    </border>
    <border diagonalDown="1">
      <left style="thin">
        <color theme="0"/>
      </left>
      <right/>
      <top/>
      <bottom style="thin">
        <color theme="0"/>
      </bottom>
      <diagonal style="thin">
        <color theme="0"/>
      </diagonal>
    </border>
    <border diagonalDown="1">
      <left style="thin">
        <color theme="0"/>
      </left>
      <right/>
      <top style="thin">
        <color theme="0"/>
      </top>
      <bottom style="thin">
        <color theme="0"/>
      </bottom>
      <diagonal style="thin">
        <color theme="0"/>
      </diagonal>
    </border>
    <border>
      <left style="thin">
        <color theme="0"/>
      </left>
      <right/>
      <top style="thin">
        <color theme="0"/>
      </top>
      <bottom/>
      <diagonal/>
    </border>
    <border diagonalDown="1">
      <left/>
      <right style="thin">
        <color theme="0"/>
      </right>
      <top style="thin">
        <color theme="0"/>
      </top>
      <bottom/>
      <diagonal style="thin">
        <color theme="0"/>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theme="0"/>
      </left>
      <right style="medium">
        <color theme="0"/>
      </right>
      <top style="medium">
        <color theme="0"/>
      </top>
      <bottom style="thin">
        <color indexed="64"/>
      </bottom>
      <diagonal/>
    </border>
    <border>
      <left style="medium">
        <color theme="0"/>
      </left>
      <right style="medium">
        <color indexed="64"/>
      </right>
      <top style="medium">
        <color theme="0"/>
      </top>
      <bottom style="thin">
        <color indexed="64"/>
      </bottom>
      <diagonal/>
    </border>
    <border>
      <left style="medium">
        <color theme="0"/>
      </left>
      <right style="medium">
        <color theme="0"/>
      </right>
      <top style="dashed">
        <color theme="0"/>
      </top>
      <bottom style="medium">
        <color theme="0"/>
      </bottom>
      <diagonal/>
    </border>
    <border>
      <left style="medium">
        <color theme="0"/>
      </left>
      <right style="medium">
        <color indexed="64"/>
      </right>
      <top style="dashed">
        <color theme="0"/>
      </top>
      <bottom style="medium">
        <color theme="0"/>
      </bottom>
      <diagonal/>
    </border>
    <border>
      <left/>
      <right style="medium">
        <color theme="0"/>
      </right>
      <top style="medium">
        <color theme="0"/>
      </top>
      <bottom style="medium">
        <color theme="0"/>
      </bottom>
      <diagonal/>
    </border>
    <border>
      <left style="medium">
        <color indexed="64"/>
      </left>
      <right style="medium">
        <color theme="0"/>
      </right>
      <top/>
      <bottom style="thin">
        <color indexed="64"/>
      </bottom>
      <diagonal/>
    </border>
    <border>
      <left style="medium">
        <color theme="0"/>
      </left>
      <right style="medium">
        <color theme="0"/>
      </right>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44" fontId="1" fillId="0" borderId="0" applyFont="0" applyFill="0" applyBorder="0" applyAlignment="0" applyProtection="0"/>
  </cellStyleXfs>
  <cellXfs count="219">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44" fontId="0" fillId="0" borderId="1" xfId="1" applyFont="1" applyBorder="1" applyAlignment="1">
      <alignment horizontal="center"/>
    </xf>
    <xf numFmtId="44" fontId="0" fillId="0" borderId="0" xfId="1" applyFont="1" applyBorder="1" applyAlignment="1">
      <alignment horizontal="center"/>
    </xf>
    <xf numFmtId="0" fontId="2" fillId="2" borderId="0"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xf>
    <xf numFmtId="0" fontId="2" fillId="4" borderId="1" xfId="0" applyFont="1" applyFill="1" applyBorder="1" applyAlignment="1">
      <alignment horizontal="center" wrapText="1"/>
    </xf>
    <xf numFmtId="44" fontId="0" fillId="0" borderId="0" xfId="1" applyFont="1"/>
    <xf numFmtId="0" fontId="5" fillId="0" borderId="7" xfId="0" applyFont="1" applyBorder="1" applyAlignment="1" applyProtection="1">
      <alignment horizontal="center" vertical="center"/>
    </xf>
    <xf numFmtId="0" fontId="5" fillId="0" borderId="12" xfId="0" applyFont="1" applyBorder="1" applyAlignment="1" applyProtection="1">
      <alignment horizontal="center" vertical="center"/>
    </xf>
    <xf numFmtId="44" fontId="5" fillId="0" borderId="12" xfId="1"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1" xfId="0" applyFont="1" applyBorder="1" applyAlignment="1" applyProtection="1">
      <alignment horizontal="center" vertical="center"/>
    </xf>
    <xf numFmtId="0" fontId="4" fillId="0" borderId="22" xfId="0" applyFont="1" applyBorder="1" applyAlignment="1" applyProtection="1">
      <alignment vertical="center"/>
    </xf>
    <xf numFmtId="0" fontId="5" fillId="0" borderId="12" xfId="0" applyFont="1" applyBorder="1" applyAlignment="1" applyProtection="1">
      <alignment vertical="center"/>
    </xf>
    <xf numFmtId="0" fontId="5" fillId="0" borderId="7" xfId="0" applyFont="1" applyBorder="1" applyAlignment="1" applyProtection="1">
      <alignment vertical="center"/>
    </xf>
    <xf numFmtId="0" fontId="5" fillId="0" borderId="23" xfId="0" applyFont="1" applyBorder="1" applyAlignment="1" applyProtection="1">
      <alignment vertical="center"/>
    </xf>
    <xf numFmtId="0" fontId="7" fillId="0" borderId="1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4" fillId="5" borderId="24"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8" fillId="0" borderId="20"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7" xfId="0" applyFont="1" applyBorder="1" applyAlignment="1" applyProtection="1">
      <alignment horizontal="center" vertical="center"/>
    </xf>
    <xf numFmtId="44" fontId="8" fillId="0" borderId="23" xfId="1" applyFont="1" applyBorder="1" applyAlignment="1" applyProtection="1">
      <alignment horizontal="center" vertical="center"/>
    </xf>
    <xf numFmtId="0" fontId="4"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7" fillId="0" borderId="24" xfId="0" applyFont="1" applyBorder="1" applyAlignment="1" applyProtection="1">
      <alignment vertical="center" wrapText="1"/>
    </xf>
    <xf numFmtId="44" fontId="9" fillId="0" borderId="7" xfId="1" applyFont="1" applyBorder="1" applyAlignment="1" applyProtection="1">
      <alignment horizontal="left" vertical="center"/>
    </xf>
    <xf numFmtId="44" fontId="5" fillId="0" borderId="25" xfId="1" applyFont="1" applyBorder="1" applyAlignment="1" applyProtection="1">
      <alignment horizontal="center" vertical="center"/>
    </xf>
    <xf numFmtId="0" fontId="8" fillId="0" borderId="11"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14" xfId="0" applyFont="1" applyBorder="1" applyAlignment="1" applyProtection="1">
      <alignment horizontal="center" vertical="center"/>
    </xf>
    <xf numFmtId="44" fontId="5" fillId="0" borderId="27" xfId="1" applyFont="1" applyBorder="1" applyAlignment="1" applyProtection="1">
      <alignment horizontal="center" vertical="center"/>
    </xf>
    <xf numFmtId="44" fontId="5" fillId="0" borderId="1" xfId="1" applyFont="1" applyBorder="1" applyAlignment="1" applyProtection="1">
      <alignment horizontal="left" vertical="center"/>
    </xf>
    <xf numFmtId="44" fontId="5" fillId="0" borderId="4" xfId="1" applyFont="1" applyBorder="1" applyAlignment="1" applyProtection="1">
      <alignment horizontal="center" vertical="center"/>
    </xf>
    <xf numFmtId="0" fontId="5" fillId="0" borderId="0"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 xfId="0" applyFont="1" applyBorder="1" applyAlignment="1" applyProtection="1">
      <alignment horizontal="center" vertical="center"/>
    </xf>
    <xf numFmtId="44" fontId="7" fillId="0" borderId="4" xfId="1" applyFont="1" applyBorder="1" applyAlignment="1" applyProtection="1">
      <alignment horizontal="center" vertical="center"/>
    </xf>
    <xf numFmtId="44" fontId="5" fillId="0" borderId="29" xfId="1" applyFont="1" applyBorder="1" applyAlignment="1" applyProtection="1">
      <alignment horizontal="center" vertical="center"/>
    </xf>
    <xf numFmtId="0" fontId="5" fillId="0" borderId="1" xfId="0" applyFont="1" applyBorder="1" applyAlignment="1" applyProtection="1">
      <alignment horizontal="center" vertical="center"/>
    </xf>
    <xf numFmtId="44" fontId="5" fillId="0" borderId="1" xfId="1" applyFont="1" applyBorder="1" applyAlignment="1" applyProtection="1">
      <alignment horizontal="center" vertical="center"/>
    </xf>
    <xf numFmtId="0" fontId="10" fillId="0" borderId="16" xfId="0" applyFont="1" applyBorder="1" applyAlignment="1" applyProtection="1">
      <alignment horizontal="center" vertical="center"/>
    </xf>
    <xf numFmtId="0" fontId="11" fillId="7" borderId="1" xfId="0" applyFont="1" applyFill="1" applyBorder="1" applyAlignment="1" applyProtection="1">
      <alignment horizontal="center" vertical="center"/>
    </xf>
    <xf numFmtId="44" fontId="3" fillId="7" borderId="4" xfId="1" applyFont="1" applyFill="1" applyBorder="1" applyAlignment="1" applyProtection="1">
      <alignment horizontal="center" vertical="center"/>
    </xf>
    <xf numFmtId="0" fontId="0" fillId="0" borderId="0" xfId="0" applyAlignment="1">
      <alignment horizontal="center" vertical="center"/>
    </xf>
    <xf numFmtId="44" fontId="8" fillId="0" borderId="21" xfId="1" applyFont="1" applyBorder="1" applyAlignment="1" applyProtection="1">
      <alignment horizontal="center" vertical="center"/>
    </xf>
    <xf numFmtId="14" fontId="0" fillId="0" borderId="1" xfId="0" applyNumberFormat="1" applyBorder="1"/>
    <xf numFmtId="2" fontId="0" fillId="0" borderId="1" xfId="0" applyNumberFormat="1" applyBorder="1" applyAlignment="1">
      <alignment horizontal="center"/>
    </xf>
    <xf numFmtId="0" fontId="2" fillId="3" borderId="1" xfId="0" applyFont="1" applyFill="1" applyBorder="1" applyAlignment="1">
      <alignment wrapText="1"/>
    </xf>
    <xf numFmtId="44" fontId="0" fillId="0" borderId="1" xfId="1" applyFont="1" applyBorder="1"/>
    <xf numFmtId="0" fontId="2" fillId="3" borderId="1" xfId="0" applyFont="1" applyFill="1" applyBorder="1" applyAlignment="1">
      <alignment vertical="center" wrapText="1"/>
    </xf>
    <xf numFmtId="2" fontId="0" fillId="0" borderId="1" xfId="1" applyNumberFormat="1" applyFont="1" applyBorder="1" applyAlignment="1">
      <alignment horizontal="center"/>
    </xf>
    <xf numFmtId="14" fontId="0" fillId="0" borderId="0" xfId="0" applyNumberFormat="1" applyAlignment="1">
      <alignment horizontal="center" vertical="center"/>
    </xf>
    <xf numFmtId="164" fontId="0" fillId="0" borderId="0" xfId="0" applyNumberFormat="1" applyAlignment="1">
      <alignment horizontal="center" vertical="center"/>
    </xf>
    <xf numFmtId="0" fontId="13" fillId="0" borderId="1" xfId="0" applyFont="1" applyBorder="1" applyAlignment="1" applyProtection="1">
      <alignment horizontal="center" vertical="center"/>
    </xf>
    <xf numFmtId="44" fontId="13" fillId="0" borderId="4" xfId="1" applyFont="1" applyBorder="1" applyAlignment="1" applyProtection="1">
      <alignment horizontal="center" vertical="center"/>
    </xf>
    <xf numFmtId="0" fontId="0" fillId="0" borderId="0" xfId="0" applyAlignment="1">
      <alignment horizontal="center" vertical="center"/>
    </xf>
    <xf numFmtId="0" fontId="0" fillId="2" borderId="1" xfId="0" applyFill="1" applyBorder="1"/>
    <xf numFmtId="0" fontId="5" fillId="0" borderId="38" xfId="0" applyFont="1" applyBorder="1" applyAlignment="1" applyProtection="1">
      <alignment horizontal="center" vertical="center"/>
    </xf>
    <xf numFmtId="0" fontId="12" fillId="0" borderId="45" xfId="0" applyFont="1" applyBorder="1" applyAlignment="1" applyProtection="1">
      <alignment horizontal="left" vertical="center"/>
    </xf>
    <xf numFmtId="0" fontId="12" fillId="0" borderId="47" xfId="0" applyFont="1" applyBorder="1" applyAlignment="1" applyProtection="1">
      <alignment horizontal="left" vertical="center"/>
    </xf>
    <xf numFmtId="0" fontId="13" fillId="0" borderId="47" xfId="0" applyFont="1" applyBorder="1" applyAlignment="1" applyProtection="1">
      <alignment horizontal="center" vertical="center"/>
    </xf>
    <xf numFmtId="44" fontId="13" fillId="0" borderId="47" xfId="1" applyFont="1" applyBorder="1" applyAlignment="1" applyProtection="1">
      <alignment horizontal="center" vertical="center"/>
    </xf>
    <xf numFmtId="0" fontId="0" fillId="0" borderId="0" xfId="0" applyAlignment="1">
      <alignment horizontal="center" vertical="center"/>
    </xf>
    <xf numFmtId="0" fontId="5" fillId="0" borderId="48" xfId="0" applyFont="1" applyBorder="1" applyAlignment="1" applyProtection="1">
      <alignment horizontal="center" vertical="center"/>
    </xf>
    <xf numFmtId="44" fontId="5" fillId="0" borderId="49" xfId="1" applyFont="1" applyBorder="1" applyAlignment="1" applyProtection="1">
      <alignment horizontal="center" vertical="center"/>
    </xf>
    <xf numFmtId="0" fontId="5" fillId="0" borderId="50" xfId="0" applyFont="1" applyBorder="1" applyAlignment="1" applyProtection="1">
      <alignment horizontal="center" vertical="center"/>
    </xf>
    <xf numFmtId="44" fontId="5" fillId="0" borderId="51" xfId="1" applyFont="1" applyBorder="1" applyAlignment="1" applyProtection="1">
      <alignment horizontal="center" vertical="center"/>
    </xf>
    <xf numFmtId="0" fontId="5" fillId="0" borderId="52" xfId="0" applyFont="1" applyBorder="1" applyAlignment="1" applyProtection="1">
      <alignment horizontal="center" vertical="center"/>
    </xf>
    <xf numFmtId="44" fontId="5" fillId="0" borderId="53" xfId="1"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5" fillId="2" borderId="7" xfId="0" applyFont="1" applyFill="1" applyBorder="1" applyAlignment="1" applyProtection="1">
      <alignment horizontal="center" vertical="center"/>
    </xf>
    <xf numFmtId="14" fontId="5" fillId="0" borderId="7" xfId="0" applyNumberFormat="1" applyFont="1" applyBorder="1" applyAlignment="1" applyProtection="1">
      <alignment horizontal="center" vertical="center"/>
    </xf>
    <xf numFmtId="0" fontId="0" fillId="0" borderId="0" xfId="0" applyProtection="1"/>
    <xf numFmtId="0" fontId="5" fillId="0" borderId="0" xfId="0" applyFont="1" applyAlignment="1" applyProtection="1">
      <alignment horizontal="center" vertical="center"/>
    </xf>
    <xf numFmtId="0" fontId="6" fillId="2" borderId="15" xfId="0" applyFont="1" applyFill="1" applyBorder="1" applyAlignment="1" applyProtection="1">
      <alignment vertical="center"/>
    </xf>
    <xf numFmtId="0" fontId="5" fillId="0" borderId="10" xfId="0" applyFont="1" applyBorder="1" applyAlignment="1" applyProtection="1">
      <alignment horizontal="center" vertical="center"/>
    </xf>
    <xf numFmtId="14" fontId="5" fillId="0" borderId="10" xfId="0" applyNumberFormat="1" applyFont="1" applyBorder="1" applyAlignment="1" applyProtection="1">
      <alignment horizontal="center" vertical="center"/>
    </xf>
    <xf numFmtId="0" fontId="5" fillId="2" borderId="10" xfId="0" applyFont="1" applyFill="1" applyBorder="1" applyAlignment="1" applyProtection="1">
      <alignment horizontal="center" vertical="center"/>
    </xf>
    <xf numFmtId="0" fontId="5" fillId="0" borderId="8" xfId="0" applyFont="1" applyBorder="1" applyAlignment="1" applyProtection="1">
      <alignment horizontal="center" vertical="center"/>
    </xf>
    <xf numFmtId="0" fontId="5" fillId="2" borderId="9" xfId="0" applyFont="1" applyFill="1" applyBorder="1" applyAlignment="1" applyProtection="1">
      <alignment horizontal="center" vertical="center"/>
    </xf>
    <xf numFmtId="14" fontId="5" fillId="0" borderId="8" xfId="0" applyNumberFormat="1" applyFont="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vertical="center"/>
    </xf>
    <xf numFmtId="0" fontId="5" fillId="0" borderId="34" xfId="0" applyFont="1" applyBorder="1" applyAlignment="1" applyProtection="1">
      <alignment horizontal="center" vertical="center"/>
    </xf>
    <xf numFmtId="14" fontId="5" fillId="0" borderId="34" xfId="0" applyNumberFormat="1" applyFont="1" applyBorder="1" applyAlignment="1" applyProtection="1">
      <alignment horizontal="center" vertical="center"/>
    </xf>
    <xf numFmtId="0" fontId="7" fillId="2" borderId="33"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7" fillId="2" borderId="33" xfId="0" applyFont="1" applyFill="1" applyBorder="1" applyAlignment="1" applyProtection="1">
      <alignment vertical="center" wrapText="1"/>
    </xf>
    <xf numFmtId="0" fontId="5" fillId="2" borderId="3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2" fontId="5" fillId="0" borderId="1" xfId="0" applyNumberFormat="1" applyFont="1" applyBorder="1" applyAlignment="1" applyProtection="1">
      <alignment horizontal="center" vertical="center"/>
    </xf>
    <xf numFmtId="44" fontId="5" fillId="0" borderId="1" xfId="1" applyNumberFormat="1" applyFont="1" applyBorder="1" applyAlignment="1" applyProtection="1">
      <alignment horizontal="center" vertical="center"/>
    </xf>
    <xf numFmtId="2" fontId="5" fillId="0" borderId="1" xfId="1" applyNumberFormat="1" applyFont="1" applyBorder="1" applyAlignment="1" applyProtection="1">
      <alignment horizontal="center" vertical="center"/>
    </xf>
    <xf numFmtId="165" fontId="5" fillId="0" borderId="4" xfId="0" applyNumberFormat="1" applyFont="1" applyBorder="1" applyAlignment="1" applyProtection="1">
      <alignment horizontal="center" vertical="center"/>
    </xf>
    <xf numFmtId="16" fontId="5" fillId="0" borderId="1" xfId="0" applyNumberFormat="1" applyFont="1" applyBorder="1" applyAlignment="1" applyProtection="1">
      <alignment horizontal="center" vertical="center"/>
    </xf>
    <xf numFmtId="0" fontId="5" fillId="0" borderId="9" xfId="0" applyFont="1" applyBorder="1" applyAlignment="1" applyProtection="1">
      <alignment horizontal="center" vertical="center"/>
    </xf>
    <xf numFmtId="0" fontId="8" fillId="2" borderId="9" xfId="0" applyFont="1" applyFill="1" applyBorder="1" applyAlignment="1" applyProtection="1">
      <alignment horizontal="center" vertical="center"/>
    </xf>
    <xf numFmtId="0" fontId="5" fillId="0" borderId="36" xfId="0" applyFont="1" applyBorder="1" applyAlignment="1" applyProtection="1">
      <alignment horizontal="center" vertical="center"/>
    </xf>
    <xf numFmtId="14" fontId="0" fillId="0" borderId="1" xfId="0" applyNumberFormat="1" applyBorder="1" applyProtection="1"/>
    <xf numFmtId="0" fontId="5" fillId="0" borderId="37" xfId="0" applyFont="1" applyBorder="1" applyAlignment="1" applyProtection="1">
      <alignment horizontal="center" vertical="center"/>
    </xf>
    <xf numFmtId="2" fontId="0" fillId="0" borderId="1" xfId="0" applyNumberFormat="1" applyBorder="1" applyAlignment="1" applyProtection="1">
      <alignment horizontal="center"/>
    </xf>
    <xf numFmtId="16" fontId="5" fillId="0" borderId="8" xfId="0" applyNumberFormat="1" applyFont="1" applyBorder="1" applyAlignment="1" applyProtection="1">
      <alignment horizontal="center" vertical="center"/>
    </xf>
    <xf numFmtId="44" fontId="5" fillId="0" borderId="28" xfId="1" applyFont="1" applyBorder="1" applyAlignment="1" applyProtection="1">
      <alignment horizontal="center" vertical="center"/>
    </xf>
    <xf numFmtId="44" fontId="7" fillId="0" borderId="28" xfId="1" applyFont="1" applyBorder="1" applyAlignment="1" applyProtection="1">
      <alignment horizontal="center" vertical="center"/>
    </xf>
    <xf numFmtId="0" fontId="7" fillId="2" borderId="9" xfId="0" applyFont="1" applyFill="1" applyBorder="1" applyAlignment="1" applyProtection="1">
      <alignment horizontal="center" vertical="center"/>
    </xf>
    <xf numFmtId="0" fontId="7" fillId="0" borderId="8" xfId="0" applyFont="1" applyBorder="1" applyAlignment="1" applyProtection="1">
      <alignment horizontal="center" vertical="center"/>
    </xf>
    <xf numFmtId="14" fontId="7" fillId="0" borderId="8" xfId="0" applyNumberFormat="1" applyFont="1" applyBorder="1" applyAlignment="1" applyProtection="1">
      <alignment horizontal="center" vertical="center"/>
    </xf>
    <xf numFmtId="0" fontId="7" fillId="0" borderId="0" xfId="0" applyFont="1" applyAlignment="1" applyProtection="1">
      <alignment horizontal="center" vertical="center"/>
    </xf>
    <xf numFmtId="44" fontId="7" fillId="0" borderId="28" xfId="0" applyNumberFormat="1" applyFont="1" applyBorder="1" applyAlignment="1" applyProtection="1">
      <alignment horizontal="center" vertical="center"/>
    </xf>
    <xf numFmtId="44" fontId="3" fillId="7" borderId="28" xfId="1"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0" borderId="8" xfId="0" applyFont="1" applyBorder="1" applyAlignment="1" applyProtection="1">
      <alignment horizontal="center" vertical="center"/>
    </xf>
    <xf numFmtId="14" fontId="10" fillId="0" borderId="8" xfId="0" applyNumberFormat="1" applyFont="1" applyBorder="1" applyAlignment="1" applyProtection="1">
      <alignment horizontal="center" vertical="center"/>
    </xf>
    <xf numFmtId="0" fontId="10" fillId="0" borderId="0" xfId="0" applyFont="1" applyAlignment="1" applyProtection="1">
      <alignment horizontal="center" vertical="center"/>
    </xf>
    <xf numFmtId="44" fontId="12" fillId="0" borderId="28" xfId="1" applyFont="1" applyBorder="1" applyAlignment="1" applyProtection="1">
      <alignment horizontal="center" vertical="center"/>
    </xf>
    <xf numFmtId="44" fontId="12" fillId="0" borderId="41" xfId="1" applyFont="1" applyBorder="1" applyAlignment="1" applyProtection="1">
      <alignment horizontal="center" vertical="center"/>
    </xf>
    <xf numFmtId="0" fontId="5" fillId="2" borderId="39" xfId="0" applyFont="1" applyFill="1" applyBorder="1" applyAlignment="1" applyProtection="1">
      <alignment horizontal="center" vertical="center"/>
    </xf>
    <xf numFmtId="1" fontId="5" fillId="0" borderId="4" xfId="1" applyNumberFormat="1" applyFont="1" applyBorder="1" applyAlignment="1" applyProtection="1">
      <alignment horizontal="center" vertical="center"/>
    </xf>
    <xf numFmtId="1" fontId="5" fillId="0" borderId="28" xfId="1" applyNumberFormat="1" applyFont="1" applyBorder="1" applyAlignment="1" applyProtection="1">
      <alignment horizontal="center" vertical="center"/>
    </xf>
    <xf numFmtId="0" fontId="5" fillId="2" borderId="11" xfId="0" applyFont="1" applyFill="1" applyBorder="1" applyAlignment="1" applyProtection="1">
      <alignment horizontal="center" vertical="center"/>
    </xf>
    <xf numFmtId="0" fontId="0" fillId="0" borderId="7" xfId="0" applyBorder="1" applyProtection="1"/>
    <xf numFmtId="0" fontId="5" fillId="0" borderId="4" xfId="0" applyFont="1" applyBorder="1" applyAlignment="1" applyProtection="1">
      <alignment horizontal="center" vertical="center"/>
    </xf>
    <xf numFmtId="164" fontId="7" fillId="0" borderId="5" xfId="1" applyNumberFormat="1" applyFont="1" applyBorder="1" applyAlignment="1" applyProtection="1">
      <alignment vertical="center"/>
    </xf>
    <xf numFmtId="164" fontId="7" fillId="0" borderId="1" xfId="1" applyNumberFormat="1" applyFont="1" applyBorder="1" applyAlignment="1" applyProtection="1">
      <alignment vertical="center"/>
    </xf>
    <xf numFmtId="164" fontId="7" fillId="0" borderId="35" xfId="1" applyNumberFormat="1" applyFont="1" applyBorder="1" applyAlignment="1" applyProtection="1">
      <alignment vertical="center"/>
    </xf>
    <xf numFmtId="0" fontId="5" fillId="0" borderId="40" xfId="0" applyFont="1" applyBorder="1" applyAlignment="1" applyProtection="1">
      <alignment horizontal="center" vertical="center"/>
    </xf>
    <xf numFmtId="164" fontId="7" fillId="0" borderId="46" xfId="1" applyNumberFormat="1" applyFont="1" applyBorder="1" applyAlignment="1" applyProtection="1">
      <alignment vertical="center"/>
    </xf>
    <xf numFmtId="164" fontId="7" fillId="0" borderId="32" xfId="1" applyNumberFormat="1" applyFont="1" applyBorder="1" applyAlignment="1" applyProtection="1">
      <alignment vertical="center"/>
    </xf>
    <xf numFmtId="164" fontId="7" fillId="0" borderId="41" xfId="1" applyNumberFormat="1" applyFont="1" applyBorder="1" applyAlignment="1" applyProtection="1">
      <alignment vertical="center"/>
    </xf>
    <xf numFmtId="44" fontId="5" fillId="0" borderId="13" xfId="1" applyFont="1" applyBorder="1" applyAlignment="1" applyProtection="1">
      <alignment horizontal="center" vertical="center"/>
    </xf>
    <xf numFmtId="44" fontId="5" fillId="0" borderId="7" xfId="1" applyFont="1" applyBorder="1" applyAlignment="1" applyProtection="1">
      <alignment horizontal="center" vertical="center"/>
    </xf>
    <xf numFmtId="0" fontId="15" fillId="0" borderId="7" xfId="0" quotePrefix="1" applyFont="1" applyBorder="1" applyAlignment="1" applyProtection="1">
      <alignment horizontal="left" vertical="center"/>
    </xf>
    <xf numFmtId="0" fontId="5" fillId="0" borderId="7" xfId="0" quotePrefix="1" applyFont="1" applyBorder="1" applyAlignment="1" applyProtection="1">
      <alignment horizontal="left" vertical="center"/>
    </xf>
    <xf numFmtId="44" fontId="5" fillId="5" borderId="28" xfId="1" applyFont="1" applyFill="1" applyBorder="1" applyAlignment="1" applyProtection="1">
      <alignment horizontal="center" vertical="center"/>
      <protection locked="0"/>
    </xf>
    <xf numFmtId="14" fontId="2" fillId="0" borderId="1" xfId="0" applyNumberFormat="1" applyFont="1" applyBorder="1" applyProtection="1"/>
    <xf numFmtId="0" fontId="12" fillId="0" borderId="7" xfId="0" quotePrefix="1" applyFont="1" applyBorder="1" applyAlignment="1" applyProtection="1">
      <alignment horizontal="left" vertical="center"/>
    </xf>
    <xf numFmtId="44" fontId="5" fillId="0" borderId="1" xfId="0" applyNumberFormat="1" applyFont="1" applyBorder="1" applyAlignment="1" applyProtection="1">
      <alignment horizontal="center" vertical="center"/>
    </xf>
    <xf numFmtId="2" fontId="0" fillId="0" borderId="0" xfId="0" applyNumberFormat="1" applyBorder="1" applyAlignment="1">
      <alignment horizontal="center"/>
    </xf>
    <xf numFmtId="164" fontId="0" fillId="0" borderId="0" xfId="0" applyNumberFormat="1" applyFont="1" applyBorder="1"/>
    <xf numFmtId="164" fontId="0" fillId="0" borderId="1" xfId="0" applyNumberFormat="1" applyBorder="1" applyAlignment="1">
      <alignment horizontal="center" vertical="center"/>
    </xf>
    <xf numFmtId="164" fontId="0" fillId="0" borderId="1" xfId="0" applyNumberFormat="1" applyFont="1" applyBorder="1" applyAlignment="1">
      <alignment horizontal="center"/>
    </xf>
    <xf numFmtId="0" fontId="2" fillId="0" borderId="1" xfId="0" applyFont="1" applyBorder="1" applyAlignment="1">
      <alignment horizontal="center" vertical="center"/>
    </xf>
    <xf numFmtId="44" fontId="2" fillId="0" borderId="0" xfId="1" applyFont="1" applyBorder="1" applyAlignment="1">
      <alignment horizontal="center" vertical="center"/>
    </xf>
    <xf numFmtId="44" fontId="0" fillId="0" borderId="6" xfId="1" applyFont="1" applyBorder="1" applyAlignment="1">
      <alignment horizontal="center"/>
    </xf>
    <xf numFmtId="44" fontId="0" fillId="0" borderId="0" xfId="1" applyFont="1" applyAlignment="1">
      <alignment horizontal="center" vertical="center"/>
    </xf>
    <xf numFmtId="44" fontId="5" fillId="0" borderId="0" xfId="1" applyFont="1" applyBorder="1" applyAlignment="1" applyProtection="1">
      <alignment horizontal="center" vertical="center"/>
    </xf>
    <xf numFmtId="14" fontId="2" fillId="0" borderId="5" xfId="0" applyNumberFormat="1" applyFont="1" applyBorder="1"/>
    <xf numFmtId="0" fontId="7" fillId="2" borderId="34" xfId="0" applyFont="1" applyFill="1" applyBorder="1" applyAlignment="1" applyProtection="1">
      <alignment horizontal="center" vertical="center" wrapText="1"/>
    </xf>
    <xf numFmtId="0" fontId="5" fillId="0" borderId="1" xfId="0" applyFont="1" applyBorder="1" applyAlignment="1" applyProtection="1">
      <alignment horizontal="left" vertical="center"/>
    </xf>
    <xf numFmtId="14" fontId="7" fillId="0" borderId="1" xfId="0" applyNumberFormat="1"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5" xfId="0" applyFont="1" applyBorder="1" applyAlignment="1" applyProtection="1">
      <alignment horizontal="center" vertical="center"/>
    </xf>
    <xf numFmtId="0" fontId="7" fillId="0" borderId="2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1" fontId="5" fillId="0" borderId="24" xfId="0" applyNumberFormat="1" applyFont="1" applyBorder="1" applyAlignment="1" applyProtection="1">
      <alignment horizontal="left" vertical="center"/>
    </xf>
    <xf numFmtId="1" fontId="5" fillId="0" borderId="1" xfId="0" applyNumberFormat="1" applyFont="1" applyBorder="1" applyAlignment="1" applyProtection="1">
      <alignment horizontal="left" vertical="center"/>
    </xf>
    <xf numFmtId="1" fontId="5" fillId="0" borderId="28" xfId="0" applyNumberFormat="1" applyFont="1" applyBorder="1" applyAlignment="1" applyProtection="1">
      <alignment horizontal="left" vertical="center"/>
    </xf>
    <xf numFmtId="0" fontId="5" fillId="0" borderId="24" xfId="0" applyFont="1" applyBorder="1" applyAlignment="1" applyProtection="1">
      <alignment horizontal="left" vertical="center" indent="2"/>
    </xf>
    <xf numFmtId="0" fontId="5" fillId="0" borderId="1" xfId="0" applyFont="1" applyBorder="1" applyAlignment="1" applyProtection="1">
      <alignment horizontal="left" vertical="center" indent="2"/>
    </xf>
    <xf numFmtId="0" fontId="5" fillId="0" borderId="31" xfId="0" applyFont="1" applyBorder="1" applyAlignment="1" applyProtection="1">
      <alignment horizontal="left" vertical="center" indent="2"/>
    </xf>
    <xf numFmtId="0" fontId="5" fillId="0" borderId="32" xfId="0" applyFont="1" applyBorder="1" applyAlignment="1" applyProtection="1">
      <alignment horizontal="left" vertical="center" indent="2"/>
    </xf>
    <xf numFmtId="0" fontId="5" fillId="0" borderId="24" xfId="0" applyFont="1" applyBorder="1" applyAlignment="1" applyProtection="1">
      <alignment horizontal="left" vertical="center"/>
    </xf>
    <xf numFmtId="0" fontId="5" fillId="0" borderId="1" xfId="0" applyFont="1" applyBorder="1" applyAlignment="1" applyProtection="1">
      <alignment horizontal="left" vertical="center"/>
    </xf>
    <xf numFmtId="0" fontId="3" fillId="6" borderId="42" xfId="0" applyFont="1" applyFill="1" applyBorder="1" applyAlignment="1" applyProtection="1">
      <alignment horizontal="center" vertical="center"/>
    </xf>
    <xf numFmtId="0" fontId="3" fillId="6" borderId="43" xfId="0" applyFont="1" applyFill="1" applyBorder="1" applyAlignment="1" applyProtection="1">
      <alignment horizontal="center" vertical="center"/>
    </xf>
    <xf numFmtId="0" fontId="3" fillId="6" borderId="44" xfId="0" applyFont="1" applyFill="1" applyBorder="1" applyAlignment="1" applyProtection="1">
      <alignment horizontal="center" vertical="center"/>
    </xf>
    <xf numFmtId="0" fontId="12" fillId="0" borderId="24" xfId="0" applyFont="1" applyBorder="1" applyAlignment="1" applyProtection="1">
      <alignment horizontal="left" vertical="center"/>
    </xf>
    <xf numFmtId="0" fontId="12" fillId="0" borderId="1"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1" xfId="0" applyFont="1" applyBorder="1" applyAlignment="1" applyProtection="1">
      <alignment horizontal="left" vertical="center"/>
    </xf>
    <xf numFmtId="0" fontId="3" fillId="7" borderId="24" xfId="0" applyFont="1" applyFill="1" applyBorder="1" applyAlignment="1" applyProtection="1">
      <alignment horizontal="left" vertical="center"/>
    </xf>
    <xf numFmtId="0" fontId="3" fillId="7" borderId="1" xfId="0" applyFont="1" applyFill="1" applyBorder="1" applyAlignment="1" applyProtection="1">
      <alignment horizontal="left" vertical="center"/>
    </xf>
    <xf numFmtId="0" fontId="7" fillId="0" borderId="4" xfId="0" applyFont="1" applyBorder="1" applyAlignment="1" applyProtection="1">
      <alignment horizontal="center" vertical="center" wrapText="1"/>
    </xf>
    <xf numFmtId="0" fontId="12" fillId="0" borderId="38" xfId="0" applyFont="1" applyBorder="1" applyAlignment="1" applyProtection="1">
      <alignment horizontal="left" vertical="center" wrapText="1"/>
    </xf>
    <xf numFmtId="0" fontId="12" fillId="0" borderId="57" xfId="0" applyFont="1" applyBorder="1" applyAlignment="1" applyProtection="1">
      <alignment horizontal="left" vertical="center" wrapText="1"/>
    </xf>
    <xf numFmtId="0" fontId="12" fillId="0" borderId="58" xfId="0" applyFont="1" applyBorder="1" applyAlignment="1" applyProtection="1">
      <alignment horizontal="left" vertical="center" wrapText="1"/>
    </xf>
    <xf numFmtId="0" fontId="12" fillId="0" borderId="5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60" xfId="0" applyFont="1" applyBorder="1" applyAlignment="1" applyProtection="1">
      <alignment horizontal="left" vertical="center" wrapText="1"/>
    </xf>
    <xf numFmtId="0" fontId="12" fillId="0" borderId="61" xfId="0" applyFont="1" applyBorder="1" applyAlignment="1" applyProtection="1">
      <alignment horizontal="left" vertical="center" wrapText="1"/>
    </xf>
    <xf numFmtId="0" fontId="12" fillId="0" borderId="62" xfId="0" applyFont="1" applyBorder="1" applyAlignment="1" applyProtection="1">
      <alignment horizontal="left" vertical="center" wrapText="1"/>
    </xf>
    <xf numFmtId="0" fontId="12" fillId="0" borderId="63" xfId="0" applyFont="1" applyBorder="1" applyAlignment="1" applyProtection="1">
      <alignment horizontal="left" vertical="center" wrapText="1"/>
    </xf>
    <xf numFmtId="0" fontId="3" fillId="6" borderId="1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19" xfId="0" applyFont="1" applyFill="1" applyBorder="1" applyAlignment="1" applyProtection="1">
      <alignment horizontal="center" vertical="center"/>
    </xf>
    <xf numFmtId="0" fontId="5" fillId="0" borderId="30"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3" fillId="6" borderId="24"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6" borderId="28"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xf>
    <xf numFmtId="0" fontId="8" fillId="0" borderId="16" xfId="0" applyFont="1" applyBorder="1" applyAlignment="1" applyProtection="1">
      <alignment horizontal="center" vertical="center"/>
    </xf>
    <xf numFmtId="44" fontId="5" fillId="0" borderId="0" xfId="1" applyFont="1" applyAlignment="1" applyProtection="1">
      <alignment horizontal="center" vertical="center"/>
    </xf>
    <xf numFmtId="0" fontId="5" fillId="2" borderId="0" xfId="0" applyFont="1" applyFill="1" applyAlignment="1" applyProtection="1">
      <alignment horizontal="center" vertical="center"/>
    </xf>
    <xf numFmtId="14" fontId="5" fillId="0" borderId="0" xfId="0" applyNumberFormat="1" applyFont="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344"/>
  <ax:ocxPr ax:name="_ExtentY" ax:value="212"/>
  <ax:ocxPr ax:name="_Version" ax:value="393216"/>
  <ax:ocxPr ax:name="Font">
    <ax:font ax:persistence="persistPropertyBag">
      <ax:ocxPr ax:name="Name" ax:value="Calibri"/>
      <ax:ocxPr ax:name="Size" ax:value="12"/>
      <ax:ocxPr ax:name="Charset" ax:value="0"/>
      <ax:ocxPr ax:name="Weight" ax:value="700"/>
      <ax:ocxPr ax:name="Underline" ax:value="0"/>
      <ax:ocxPr ax:name="Italic" ax:value="0"/>
      <ax:ocxPr ax:name="Strikethrough" ax:value="0"/>
    </ax:font>
  </ax:ocxPr>
  <ax:ocxPr ax:name="CalendarBackColor" ax:value="-2147483646"/>
  <ax:ocxPr ax:name="CalendarTitleBackColor" ax:value="-2147483632"/>
  <ax:ocxPr ax:name="Format" ax:value="464519169"/>
  <ax:ocxPr ax:name="CurrentDate" ax:value="44484"/>
</ax:ocx>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184855</xdr:colOff>
      <xdr:row>18</xdr:row>
      <xdr:rowOff>106539</xdr:rowOff>
    </xdr:from>
    <xdr:to>
      <xdr:col>41</xdr:col>
      <xdr:colOff>489722</xdr:colOff>
      <xdr:row>28</xdr:row>
      <xdr:rowOff>49037</xdr:rowOff>
    </xdr:to>
    <xdr:pic>
      <xdr:nvPicPr>
        <xdr:cNvPr id="2" name="Picture 1">
          <a:extLst>
            <a:ext uri="{FF2B5EF4-FFF2-40B4-BE49-F238E27FC236}">
              <a16:creationId xmlns:a16="http://schemas.microsoft.com/office/drawing/2014/main" id="{BB229054-A16B-9240-AF28-7D1139565CB5}"/>
            </a:ext>
          </a:extLst>
        </xdr:cNvPr>
        <xdr:cNvPicPr>
          <a:picLocks noChangeAspect="1"/>
        </xdr:cNvPicPr>
      </xdr:nvPicPr>
      <xdr:blipFill>
        <a:blip xmlns:r="http://schemas.openxmlformats.org/officeDocument/2006/relationships" r:embed="rId1"/>
        <a:stretch>
          <a:fillRect/>
        </a:stretch>
      </xdr:blipFill>
      <xdr:spPr>
        <a:xfrm>
          <a:off x="7402688" y="3260372"/>
          <a:ext cx="5215534" cy="18898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542925</xdr:colOff>
          <xdr:row>6</xdr:row>
          <xdr:rowOff>28575</xdr:rowOff>
        </xdr:from>
        <xdr:to>
          <xdr:col>7</xdr:col>
          <xdr:colOff>1714500</xdr:colOff>
          <xdr:row>6</xdr:row>
          <xdr:rowOff>400050</xdr:rowOff>
        </xdr:to>
        <xdr:sp macro="" textlink="">
          <xdr:nvSpPr>
            <xdr:cNvPr id="1031" name="DTPicker1"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W118"/>
  <sheetViews>
    <sheetView tabSelected="1" zoomScale="85" zoomScaleNormal="85" workbookViewId="0">
      <selection activeCell="AH11" sqref="AH11"/>
    </sheetView>
  </sheetViews>
  <sheetFormatPr defaultColWidth="9.140625" defaultRowHeight="15.75" x14ac:dyDescent="0.25"/>
  <cols>
    <col min="1" max="1" width="4.85546875" style="89" customWidth="1"/>
    <col min="2" max="2" width="21.42578125" style="89" customWidth="1"/>
    <col min="3" max="3" width="22.140625" style="89" customWidth="1"/>
    <col min="4" max="4" width="17.5703125" style="89" customWidth="1"/>
    <col min="5" max="5" width="32.28515625" style="89" hidden="1" customWidth="1"/>
    <col min="6" max="7" width="12.140625" style="89" hidden="1" customWidth="1"/>
    <col min="8" max="8" width="34.42578125" style="216" customWidth="1"/>
    <col min="9" max="9" width="14.42578125" style="217" customWidth="1"/>
    <col min="10" max="10" width="11.140625" style="43" hidden="1" customWidth="1"/>
    <col min="11" max="11" width="9.140625" style="89" hidden="1" customWidth="1"/>
    <col min="12" max="12" width="11.140625" style="89" hidden="1" customWidth="1"/>
    <col min="13" max="13" width="14.42578125" style="89" hidden="1" customWidth="1"/>
    <col min="14" max="14" width="9.85546875" style="89" hidden="1" customWidth="1"/>
    <col min="15" max="18" width="15.5703125" style="89" hidden="1" customWidth="1"/>
    <col min="19" max="25" width="9.140625" style="89" hidden="1" customWidth="1"/>
    <col min="26" max="26" width="22.28515625" style="89" hidden="1" customWidth="1"/>
    <col min="27" max="27" width="14" style="89" hidden="1" customWidth="1"/>
    <col min="28" max="28" width="12.28515625" style="218" hidden="1" customWidth="1"/>
    <col min="29" max="29" width="10.140625" style="89" hidden="1" customWidth="1"/>
    <col min="30" max="31" width="9.140625" style="89" hidden="1" customWidth="1"/>
    <col min="32" max="32" width="9.140625" style="88" hidden="1" customWidth="1"/>
    <col min="33" max="33" width="15.42578125" style="89" customWidth="1"/>
    <col min="34" max="75" width="9.140625" style="89" customWidth="1"/>
    <col min="76" max="16384" width="9.140625" style="89"/>
  </cols>
  <sheetData>
    <row r="1" spans="1:61" ht="9" customHeight="1" thickBot="1" x14ac:dyDescent="0.3">
      <c r="A1" s="13"/>
      <c r="B1" s="14"/>
      <c r="C1" s="14"/>
      <c r="D1" s="14"/>
      <c r="E1" s="14"/>
      <c r="F1" s="14"/>
      <c r="G1" s="14"/>
      <c r="H1" s="15"/>
      <c r="I1" s="86"/>
      <c r="J1" s="13"/>
      <c r="K1" s="13"/>
      <c r="L1" s="13"/>
      <c r="M1" s="13"/>
      <c r="N1" s="13"/>
      <c r="O1" s="13"/>
      <c r="P1" s="13"/>
      <c r="Q1" s="13"/>
      <c r="R1" s="13"/>
      <c r="S1" s="13"/>
      <c r="T1" s="13"/>
      <c r="U1" s="13"/>
      <c r="V1" s="13"/>
      <c r="W1" s="13"/>
      <c r="X1" s="13"/>
      <c r="Y1" s="13"/>
      <c r="Z1" s="13"/>
      <c r="AA1" s="13"/>
      <c r="AB1" s="87"/>
      <c r="AC1" s="13"/>
      <c r="AD1" s="13"/>
      <c r="AE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row>
    <row r="2" spans="1:61" ht="19.5" thickBot="1" x14ac:dyDescent="0.3">
      <c r="A2" s="16"/>
      <c r="B2" s="204" t="s">
        <v>109</v>
      </c>
      <c r="C2" s="205"/>
      <c r="D2" s="205"/>
      <c r="E2" s="205"/>
      <c r="F2" s="205"/>
      <c r="G2" s="205"/>
      <c r="H2" s="206"/>
      <c r="I2" s="90"/>
      <c r="J2" s="91"/>
      <c r="K2" s="91"/>
      <c r="L2" s="91"/>
      <c r="M2" s="91"/>
      <c r="N2" s="91"/>
      <c r="O2" s="91"/>
      <c r="P2" s="91"/>
      <c r="Q2" s="91"/>
      <c r="R2" s="91"/>
      <c r="S2" s="91"/>
      <c r="T2" s="91"/>
      <c r="U2" s="91"/>
      <c r="V2" s="91"/>
      <c r="W2" s="91"/>
      <c r="X2" s="91"/>
      <c r="Y2" s="91"/>
      <c r="Z2" s="91"/>
      <c r="AA2" s="91"/>
      <c r="AB2" s="92"/>
      <c r="AC2" s="91"/>
      <c r="AD2" s="91"/>
      <c r="AE2" s="91"/>
      <c r="AG2" s="93"/>
      <c r="AH2" s="93"/>
      <c r="AI2" s="93"/>
      <c r="AJ2" s="93"/>
      <c r="AK2" s="93"/>
      <c r="AL2" s="93"/>
      <c r="AM2" s="93"/>
      <c r="AN2" s="93"/>
      <c r="AO2" s="93"/>
      <c r="AP2" s="91"/>
      <c r="AQ2" s="91"/>
      <c r="AR2" s="91"/>
      <c r="AS2" s="91"/>
      <c r="AT2" s="91"/>
      <c r="AU2" s="91"/>
      <c r="AV2" s="91"/>
      <c r="AW2" s="91"/>
      <c r="AX2" s="91"/>
      <c r="AY2" s="91"/>
      <c r="AZ2" s="91"/>
      <c r="BA2" s="91"/>
      <c r="BB2" s="91"/>
      <c r="BC2" s="91"/>
      <c r="BD2" s="91"/>
      <c r="BE2" s="91"/>
      <c r="BF2" s="91"/>
      <c r="BG2" s="94"/>
      <c r="BH2" s="94"/>
      <c r="BI2" s="94"/>
    </row>
    <row r="3" spans="1:61" ht="8.4499999999999993" customHeight="1" x14ac:dyDescent="0.25">
      <c r="A3" s="16"/>
      <c r="B3" s="17"/>
      <c r="C3" s="18"/>
      <c r="D3" s="18"/>
      <c r="E3" s="18"/>
      <c r="F3" s="18"/>
      <c r="G3" s="18"/>
      <c r="H3" s="19"/>
      <c r="I3" s="95"/>
      <c r="J3" s="94"/>
      <c r="K3" s="94"/>
      <c r="L3" s="94"/>
      <c r="M3" s="94"/>
      <c r="N3" s="94"/>
      <c r="O3" s="94"/>
      <c r="P3" s="94"/>
      <c r="Q3" s="94"/>
      <c r="R3" s="94"/>
      <c r="S3" s="94"/>
      <c r="T3" s="94"/>
      <c r="U3" s="94"/>
      <c r="V3" s="94"/>
      <c r="W3" s="94"/>
      <c r="X3" s="94"/>
      <c r="Y3" s="94"/>
      <c r="Z3" s="94"/>
      <c r="AA3" s="94"/>
      <c r="AB3" s="96"/>
      <c r="AC3" s="94"/>
      <c r="AD3" s="94"/>
      <c r="AE3" s="94"/>
      <c r="AG3" s="97"/>
      <c r="AH3" s="97"/>
      <c r="AI3" s="97"/>
      <c r="AJ3" s="97"/>
      <c r="AK3" s="97"/>
      <c r="AL3" s="97"/>
      <c r="AM3" s="97"/>
      <c r="AN3" s="97"/>
      <c r="AO3" s="97"/>
      <c r="AP3" s="94"/>
      <c r="AQ3" s="94"/>
      <c r="AR3" s="94"/>
      <c r="AS3" s="94"/>
      <c r="AT3" s="94"/>
      <c r="AU3" s="94"/>
      <c r="AV3" s="94"/>
      <c r="AW3" s="94"/>
      <c r="AX3" s="94"/>
      <c r="AY3" s="94"/>
      <c r="AZ3" s="94"/>
      <c r="BA3" s="94"/>
      <c r="BB3" s="94"/>
      <c r="BC3" s="94"/>
      <c r="BD3" s="94"/>
      <c r="BE3" s="94"/>
      <c r="BF3" s="94"/>
      <c r="BG3" s="94"/>
      <c r="BH3" s="94"/>
      <c r="BI3" s="94"/>
    </row>
    <row r="4" spans="1:61" ht="17.100000000000001" customHeight="1" x14ac:dyDescent="0.25">
      <c r="A4" s="16"/>
      <c r="B4" s="20" t="s">
        <v>89</v>
      </c>
      <c r="C4" s="21"/>
      <c r="D4" s="22"/>
      <c r="E4" s="22"/>
      <c r="F4" s="22"/>
      <c r="G4" s="22"/>
      <c r="H4" s="23"/>
      <c r="I4" s="98"/>
      <c r="J4" s="99"/>
      <c r="K4" s="99"/>
      <c r="L4" s="99"/>
      <c r="M4" s="99"/>
      <c r="N4" s="99"/>
      <c r="O4" s="99"/>
      <c r="P4" s="99"/>
      <c r="Q4" s="99"/>
      <c r="R4" s="99"/>
      <c r="S4" s="99"/>
      <c r="T4" s="99"/>
      <c r="U4" s="99"/>
      <c r="V4" s="99"/>
      <c r="W4" s="99"/>
      <c r="X4" s="99"/>
      <c r="Y4" s="99"/>
      <c r="Z4" s="99"/>
      <c r="AA4" s="99"/>
      <c r="AB4" s="100"/>
      <c r="AC4" s="99"/>
      <c r="AD4" s="94"/>
      <c r="AE4" s="94"/>
      <c r="AG4" s="97"/>
      <c r="AH4" s="97"/>
      <c r="AI4" s="97"/>
      <c r="AJ4" s="97"/>
      <c r="AK4" s="97"/>
      <c r="AL4" s="97"/>
      <c r="AM4" s="97"/>
      <c r="AN4" s="97"/>
      <c r="AO4" s="97"/>
      <c r="AP4" s="94"/>
      <c r="AQ4" s="94"/>
      <c r="AR4" s="94"/>
      <c r="AS4" s="94"/>
      <c r="AT4" s="94"/>
      <c r="AU4" s="94"/>
      <c r="AV4" s="94"/>
      <c r="AW4" s="94"/>
      <c r="AX4" s="94"/>
      <c r="AY4" s="94"/>
      <c r="AZ4" s="94"/>
      <c r="BA4" s="94"/>
      <c r="BB4" s="94"/>
      <c r="BC4" s="94"/>
      <c r="BD4" s="94"/>
      <c r="BE4" s="94"/>
      <c r="BF4" s="94"/>
      <c r="BG4" s="94"/>
      <c r="BH4" s="94"/>
      <c r="BI4" s="94"/>
    </row>
    <row r="5" spans="1:61" s="104" customFormat="1" x14ac:dyDescent="0.25">
      <c r="A5" s="24"/>
      <c r="B5" s="171" t="s">
        <v>56</v>
      </c>
      <c r="C5" s="172" t="s">
        <v>57</v>
      </c>
      <c r="D5" s="172" t="s">
        <v>35</v>
      </c>
      <c r="E5" s="25"/>
      <c r="F5" s="25"/>
      <c r="G5" s="25"/>
      <c r="H5" s="173" t="s">
        <v>64</v>
      </c>
      <c r="I5" s="101"/>
      <c r="J5" s="172" t="s">
        <v>33</v>
      </c>
      <c r="K5" s="172" t="s">
        <v>31</v>
      </c>
      <c r="L5" s="172" t="s">
        <v>36</v>
      </c>
      <c r="M5" s="172" t="s">
        <v>37</v>
      </c>
      <c r="N5" s="172" t="s">
        <v>1</v>
      </c>
      <c r="O5" s="172" t="s">
        <v>118</v>
      </c>
      <c r="P5" s="172" t="s">
        <v>119</v>
      </c>
      <c r="Q5" s="172" t="s">
        <v>34</v>
      </c>
      <c r="R5" s="174" t="s">
        <v>93</v>
      </c>
      <c r="S5" s="172" t="s">
        <v>16</v>
      </c>
      <c r="T5" s="172" t="s">
        <v>15</v>
      </c>
      <c r="U5" s="172" t="s">
        <v>18</v>
      </c>
      <c r="V5" s="174" t="s">
        <v>94</v>
      </c>
      <c r="W5" s="172" t="s">
        <v>0</v>
      </c>
      <c r="X5" s="172" t="s">
        <v>17</v>
      </c>
      <c r="Y5" s="172" t="s">
        <v>19</v>
      </c>
      <c r="Z5" s="172" t="s">
        <v>104</v>
      </c>
      <c r="AA5" s="194" t="s">
        <v>8</v>
      </c>
      <c r="AB5" s="167" t="s">
        <v>66</v>
      </c>
      <c r="AC5" s="167"/>
      <c r="AD5" s="102"/>
      <c r="AE5" s="103"/>
      <c r="AG5" s="165"/>
      <c r="AH5" s="165"/>
      <c r="AI5" s="165"/>
      <c r="AJ5" s="165"/>
      <c r="AK5" s="165"/>
      <c r="AL5" s="165"/>
      <c r="AM5" s="165"/>
      <c r="AN5" s="165"/>
      <c r="AO5" s="165"/>
      <c r="AP5" s="103"/>
      <c r="AQ5" s="103"/>
      <c r="AR5" s="103"/>
      <c r="AS5" s="103"/>
      <c r="AT5" s="103"/>
      <c r="AU5" s="103"/>
      <c r="AV5" s="103"/>
      <c r="AW5" s="103"/>
      <c r="AX5" s="103"/>
      <c r="AY5" s="103"/>
      <c r="AZ5" s="103"/>
      <c r="BA5" s="103"/>
      <c r="BB5" s="103"/>
      <c r="BC5" s="103"/>
      <c r="BD5" s="103"/>
      <c r="BE5" s="103"/>
      <c r="BF5" s="103"/>
      <c r="BG5" s="103"/>
      <c r="BH5" s="103"/>
      <c r="BI5" s="103"/>
    </row>
    <row r="6" spans="1:61" s="104" customFormat="1" x14ac:dyDescent="0.25">
      <c r="A6" s="24"/>
      <c r="B6" s="171"/>
      <c r="C6" s="172"/>
      <c r="D6" s="172"/>
      <c r="E6" s="25"/>
      <c r="F6" s="25"/>
      <c r="G6" s="25"/>
      <c r="H6" s="173"/>
      <c r="I6" s="105"/>
      <c r="J6" s="172"/>
      <c r="K6" s="172"/>
      <c r="L6" s="172"/>
      <c r="M6" s="172"/>
      <c r="N6" s="172"/>
      <c r="O6" s="172"/>
      <c r="P6" s="172"/>
      <c r="Q6" s="172"/>
      <c r="R6" s="175"/>
      <c r="S6" s="172"/>
      <c r="T6" s="172"/>
      <c r="U6" s="172"/>
      <c r="V6" s="175"/>
      <c r="W6" s="172"/>
      <c r="X6" s="172"/>
      <c r="Y6" s="172"/>
      <c r="Z6" s="172"/>
      <c r="AA6" s="194"/>
      <c r="AB6" s="167"/>
      <c r="AC6" s="167"/>
      <c r="AD6" s="102"/>
      <c r="AE6" s="103"/>
      <c r="AG6" s="213" t="s">
        <v>122</v>
      </c>
      <c r="AH6" s="213"/>
      <c r="AI6" s="213"/>
      <c r="AJ6" s="213"/>
      <c r="AK6" s="213"/>
      <c r="AL6" s="213"/>
      <c r="AM6" s="213"/>
      <c r="AN6" s="213"/>
      <c r="AO6" s="213"/>
      <c r="AP6" s="102"/>
      <c r="AQ6" s="103"/>
      <c r="AR6" s="103"/>
      <c r="AS6" s="103"/>
      <c r="AT6" s="103"/>
      <c r="AU6" s="103"/>
      <c r="AV6" s="103"/>
      <c r="AW6" s="103"/>
      <c r="AX6" s="103"/>
      <c r="AY6" s="103"/>
      <c r="AZ6" s="103"/>
      <c r="BA6" s="103"/>
      <c r="BB6" s="103"/>
      <c r="BC6" s="103"/>
      <c r="BD6" s="103"/>
      <c r="BE6" s="103"/>
      <c r="BF6" s="103"/>
      <c r="BG6" s="103"/>
      <c r="BH6" s="103"/>
      <c r="BI6" s="103"/>
    </row>
    <row r="7" spans="1:61" ht="33.6" customHeight="1" x14ac:dyDescent="0.25">
      <c r="A7" s="16"/>
      <c r="B7" s="26"/>
      <c r="C7" s="27"/>
      <c r="D7" s="27"/>
      <c r="E7" s="13"/>
      <c r="F7" s="13"/>
      <c r="G7" s="215"/>
      <c r="H7" s="151" t="s">
        <v>121</v>
      </c>
      <c r="I7" s="106"/>
      <c r="J7" s="107">
        <f>VLOOKUP(C10,'Trucking Rates'!A2:B22,2,FALSE)</f>
        <v>0</v>
      </c>
      <c r="K7" s="48">
        <f>IF(J7=0,0,C7)</f>
        <v>0</v>
      </c>
      <c r="L7" s="108">
        <f>K7*1000000/6000</f>
        <v>0</v>
      </c>
      <c r="M7" s="108">
        <f>IF(L7&gt;X7,L7,X7)</f>
        <v>0</v>
      </c>
      <c r="N7" s="48">
        <f>X7/1000</f>
        <v>0</v>
      </c>
      <c r="O7" s="109">
        <f>VLOOKUP($J$7,'Trucking Rates'!$B$2:$J$22,8)</f>
        <v>0</v>
      </c>
      <c r="P7" s="109">
        <f>VLOOKUP($J$7,'Trucking Rates'!$B$2:$J$22,9)</f>
        <v>0</v>
      </c>
      <c r="Q7" s="109">
        <f>IF(N7&gt;K7,P7,O7)</f>
        <v>0</v>
      </c>
      <c r="R7" s="110">
        <f>E33*0.20451055872+K7</f>
        <v>0.20451055872000001</v>
      </c>
      <c r="S7" s="48">
        <f>R7*35.3147</f>
        <v>7.2222290280291848</v>
      </c>
      <c r="T7" s="48">
        <f>S7*1728</f>
        <v>12480.01176043443</v>
      </c>
      <c r="U7" s="48">
        <f>D7</f>
        <v>0</v>
      </c>
      <c r="V7" s="48">
        <f>40*E33</f>
        <v>40</v>
      </c>
      <c r="W7" s="48">
        <f>B7*2.2046</f>
        <v>0</v>
      </c>
      <c r="X7" s="48">
        <f>B7</f>
        <v>0</v>
      </c>
      <c r="Y7" s="48">
        <f>X7*2.2046+V7</f>
        <v>40</v>
      </c>
      <c r="Z7" s="108">
        <f>T7/194*'Trucking Rates'!F27</f>
        <v>77.195949033615037</v>
      </c>
      <c r="AA7" s="111">
        <f>IF(Y7/100&gt;Z7/100,Y7/100,Z7/100)</f>
        <v>0.77195949033615041</v>
      </c>
      <c r="AB7" s="154" t="str">
        <f>H7</f>
        <v>10/15/2021</v>
      </c>
      <c r="AC7" s="112"/>
      <c r="AD7" s="113"/>
      <c r="AE7" s="94"/>
      <c r="AG7" s="213"/>
      <c r="AH7" s="213"/>
      <c r="AI7" s="213"/>
      <c r="AJ7" s="213"/>
      <c r="AK7" s="213"/>
      <c r="AL7" s="213"/>
      <c r="AM7" s="213"/>
      <c r="AN7" s="213"/>
      <c r="AO7" s="213"/>
      <c r="AP7" s="113"/>
      <c r="AQ7" s="94"/>
      <c r="AR7" s="94"/>
      <c r="AS7" s="94"/>
      <c r="AT7" s="94"/>
      <c r="AU7" s="94"/>
      <c r="AV7" s="94"/>
      <c r="AW7" s="94"/>
      <c r="AX7" s="94"/>
      <c r="AY7" s="94"/>
      <c r="AZ7" s="94"/>
      <c r="BA7" s="94"/>
      <c r="BB7" s="94"/>
      <c r="BC7" s="94"/>
      <c r="BD7" s="94"/>
      <c r="BE7" s="94"/>
      <c r="BF7" s="94"/>
      <c r="BG7" s="94"/>
      <c r="BH7" s="94"/>
      <c r="BI7" s="94"/>
    </row>
    <row r="8" spans="1:61" ht="14.25" customHeight="1" x14ac:dyDescent="0.25">
      <c r="A8" s="16"/>
      <c r="B8" s="28"/>
      <c r="C8" s="29"/>
      <c r="D8" s="30"/>
      <c r="E8" s="30"/>
      <c r="F8" s="30"/>
      <c r="G8" s="30"/>
      <c r="H8" s="54"/>
      <c r="I8" s="114"/>
      <c r="J8" s="91"/>
      <c r="K8" s="91"/>
      <c r="L8" s="91"/>
      <c r="M8" s="91"/>
      <c r="N8" s="91"/>
      <c r="O8" s="91"/>
      <c r="P8" s="91"/>
      <c r="Q8" s="91"/>
      <c r="R8" s="91"/>
      <c r="S8" s="91"/>
      <c r="T8" s="91"/>
      <c r="U8" s="91"/>
      <c r="V8" s="91"/>
      <c r="W8" s="91"/>
      <c r="X8" s="91"/>
      <c r="Y8" s="91"/>
      <c r="Z8" s="91"/>
      <c r="AA8" s="115"/>
      <c r="AB8" s="116">
        <f>AB7+7</f>
        <v>44491</v>
      </c>
      <c r="AC8" s="116"/>
      <c r="AD8" s="113"/>
      <c r="AE8" s="94"/>
      <c r="AG8" s="213"/>
      <c r="AH8" s="213"/>
      <c r="AI8" s="213"/>
      <c r="AJ8" s="213"/>
      <c r="AK8" s="213"/>
      <c r="AL8" s="213"/>
      <c r="AM8" s="213"/>
      <c r="AN8" s="213"/>
      <c r="AO8" s="213"/>
      <c r="AP8" s="113"/>
      <c r="AQ8" s="94"/>
      <c r="AR8" s="94"/>
      <c r="AS8" s="94"/>
      <c r="AT8" s="94"/>
      <c r="AU8" s="94"/>
      <c r="AV8" s="94"/>
      <c r="AW8" s="94"/>
      <c r="AX8" s="94"/>
      <c r="AY8" s="94"/>
      <c r="AZ8" s="94"/>
      <c r="BA8" s="94"/>
      <c r="BB8" s="94"/>
      <c r="BC8" s="94"/>
      <c r="BD8" s="94"/>
      <c r="BE8" s="94"/>
      <c r="BF8" s="94"/>
      <c r="BG8" s="94"/>
      <c r="BH8" s="94"/>
      <c r="BI8" s="94"/>
    </row>
    <row r="9" spans="1:61" ht="17.100000000000001" customHeight="1" x14ac:dyDescent="0.25">
      <c r="A9" s="16"/>
      <c r="B9" s="32" t="s">
        <v>90</v>
      </c>
      <c r="C9" s="33"/>
      <c r="D9" s="30"/>
      <c r="E9" s="30"/>
      <c r="F9" s="30"/>
      <c r="G9" s="30"/>
      <c r="H9" s="31"/>
      <c r="I9" s="114"/>
      <c r="J9" s="94"/>
      <c r="K9" s="94"/>
      <c r="L9" s="94"/>
      <c r="M9" s="94"/>
      <c r="N9" s="94"/>
      <c r="O9" s="94"/>
      <c r="P9" s="94"/>
      <c r="Q9" s="94"/>
      <c r="R9" s="94"/>
      <c r="S9" s="94"/>
      <c r="T9" s="94"/>
      <c r="U9" s="94"/>
      <c r="V9" s="94"/>
      <c r="W9" s="94"/>
      <c r="X9" s="94"/>
      <c r="Y9" s="94"/>
      <c r="Z9" s="94">
        <f>T7/194</f>
        <v>64.329957528012528</v>
      </c>
      <c r="AA9" s="117"/>
      <c r="AB9" s="118">
        <f>WEEKDAY(AB7+7-2)</f>
        <v>4</v>
      </c>
      <c r="AC9" s="118"/>
      <c r="AD9" s="113"/>
      <c r="AE9" s="94"/>
      <c r="AG9" s="93"/>
      <c r="AH9" s="93"/>
      <c r="AI9" s="93"/>
      <c r="AJ9" s="93"/>
      <c r="AK9" s="93"/>
      <c r="AL9" s="93"/>
      <c r="AM9" s="93"/>
      <c r="AN9" s="93"/>
      <c r="AO9" s="93"/>
      <c r="AP9" s="94"/>
      <c r="AQ9" s="94"/>
      <c r="AR9" s="94"/>
      <c r="AS9" s="94"/>
      <c r="AT9" s="94"/>
      <c r="AU9" s="94"/>
      <c r="AV9" s="94"/>
      <c r="AW9" s="94"/>
      <c r="AX9" s="94"/>
      <c r="AY9" s="94"/>
      <c r="AZ9" s="94"/>
      <c r="BA9" s="94"/>
      <c r="BB9" s="94"/>
      <c r="BC9" s="94"/>
      <c r="BD9" s="94"/>
      <c r="BE9" s="94"/>
      <c r="BF9" s="94"/>
      <c r="BG9" s="94"/>
      <c r="BH9" s="94"/>
      <c r="BI9" s="94"/>
    </row>
    <row r="10" spans="1:61" ht="22.5" customHeight="1" x14ac:dyDescent="0.25">
      <c r="A10" s="16"/>
      <c r="B10" s="34" t="s">
        <v>32</v>
      </c>
      <c r="C10" s="27" t="s">
        <v>83</v>
      </c>
      <c r="D10" s="35"/>
      <c r="E10" s="30"/>
      <c r="F10" s="30"/>
      <c r="G10" s="30"/>
      <c r="H10" s="31"/>
      <c r="I10" s="114"/>
      <c r="J10" s="94"/>
      <c r="K10" s="94"/>
      <c r="L10" s="94"/>
      <c r="M10" s="94"/>
      <c r="N10" s="94"/>
      <c r="O10" s="94"/>
      <c r="P10" s="94"/>
      <c r="Q10" s="94"/>
      <c r="R10" s="94"/>
      <c r="S10" s="94"/>
      <c r="T10" s="94"/>
      <c r="U10" s="94"/>
      <c r="V10" s="94"/>
      <c r="W10" s="94"/>
      <c r="X10" s="94"/>
      <c r="Y10" s="94"/>
      <c r="Z10" s="94"/>
      <c r="AA10" s="117"/>
      <c r="AB10" s="152">
        <f>AB8-AB9</f>
        <v>44487</v>
      </c>
      <c r="AC10" s="152"/>
      <c r="AD10" s="113"/>
      <c r="AE10" s="94"/>
      <c r="AG10" s="97"/>
      <c r="AH10" s="97"/>
      <c r="AI10" s="97"/>
      <c r="AJ10" s="97"/>
      <c r="AK10" s="97"/>
      <c r="AL10" s="97"/>
      <c r="AM10" s="97"/>
      <c r="AN10" s="97"/>
      <c r="AO10" s="97"/>
      <c r="AP10" s="94"/>
      <c r="AQ10" s="94"/>
      <c r="AR10" s="94"/>
      <c r="AS10" s="94"/>
      <c r="AT10" s="94"/>
      <c r="AU10" s="94"/>
      <c r="AV10" s="94"/>
      <c r="AW10" s="94"/>
      <c r="AX10" s="94"/>
      <c r="AY10" s="94"/>
      <c r="AZ10" s="94"/>
      <c r="BA10" s="94"/>
      <c r="BB10" s="94"/>
      <c r="BC10" s="94"/>
      <c r="BD10" s="94"/>
      <c r="BE10" s="94"/>
      <c r="BF10" s="94"/>
      <c r="BG10" s="94"/>
      <c r="BH10" s="94"/>
      <c r="BI10" s="94"/>
    </row>
    <row r="11" spans="1:61" ht="14.25" customHeight="1" x14ac:dyDescent="0.25">
      <c r="A11" s="16"/>
      <c r="B11" s="28"/>
      <c r="C11" s="29"/>
      <c r="D11" s="30"/>
      <c r="E11" s="30"/>
      <c r="F11" s="30"/>
      <c r="G11" s="30"/>
      <c r="H11" s="36"/>
      <c r="I11" s="114"/>
      <c r="J11" s="94"/>
      <c r="K11" s="94"/>
      <c r="L11" s="94"/>
      <c r="M11" s="94"/>
      <c r="N11" s="94"/>
      <c r="O11" s="94"/>
      <c r="P11" s="94"/>
      <c r="Q11" s="94"/>
      <c r="R11" s="94"/>
      <c r="S11" s="94"/>
      <c r="T11" s="94"/>
      <c r="U11" s="94"/>
      <c r="V11" s="94"/>
      <c r="W11" s="94"/>
      <c r="X11" s="94"/>
      <c r="Y11" s="94"/>
      <c r="Z11" s="94"/>
      <c r="AA11" s="94"/>
      <c r="AB11" s="92"/>
      <c r="AC11" s="91"/>
      <c r="AD11" s="94"/>
      <c r="AE11" s="119"/>
      <c r="AG11" s="97"/>
      <c r="AH11" s="97"/>
      <c r="AI11" s="97"/>
      <c r="AJ11" s="97"/>
      <c r="AK11" s="97"/>
      <c r="AL11" s="97"/>
      <c r="AM11" s="97"/>
      <c r="AN11" s="97"/>
      <c r="AO11" s="97"/>
      <c r="AP11" s="94"/>
      <c r="AQ11" s="94"/>
      <c r="AR11" s="94"/>
      <c r="AS11" s="94"/>
      <c r="AT11" s="94"/>
      <c r="AU11" s="94"/>
      <c r="AV11" s="94"/>
      <c r="AW11" s="94"/>
      <c r="AX11" s="94"/>
      <c r="AY11" s="94"/>
      <c r="AZ11" s="94"/>
      <c r="BA11" s="94"/>
      <c r="BB11" s="94"/>
      <c r="BC11" s="94"/>
      <c r="BD11" s="94"/>
      <c r="BE11" s="94"/>
      <c r="BF11" s="94"/>
      <c r="BG11" s="94"/>
      <c r="BH11" s="94"/>
      <c r="BI11" s="94"/>
    </row>
    <row r="12" spans="1:61" ht="17.100000000000001" customHeight="1" x14ac:dyDescent="0.25">
      <c r="A12" s="16"/>
      <c r="B12" s="32" t="s">
        <v>91</v>
      </c>
      <c r="C12" s="33"/>
      <c r="D12" s="30"/>
      <c r="E12" s="30"/>
      <c r="F12" s="30"/>
      <c r="G12" s="30"/>
      <c r="H12" s="31"/>
      <c r="I12" s="114"/>
      <c r="J12" s="94"/>
      <c r="K12" s="94"/>
      <c r="L12" s="94"/>
      <c r="M12" s="94"/>
      <c r="N12" s="94"/>
      <c r="O12" s="94"/>
      <c r="P12" s="94"/>
      <c r="Q12" s="94"/>
      <c r="R12" s="94"/>
      <c r="S12" s="94"/>
      <c r="T12" s="94"/>
      <c r="U12" s="94"/>
      <c r="V12" s="94"/>
      <c r="W12" s="94"/>
      <c r="X12" s="94"/>
      <c r="Y12" s="94"/>
      <c r="Z12" s="94"/>
      <c r="AA12" s="94"/>
      <c r="AB12" s="96"/>
      <c r="AC12" s="94"/>
      <c r="AD12" s="94"/>
      <c r="AE12" s="119"/>
      <c r="AG12" s="97"/>
      <c r="AH12" s="97"/>
      <c r="AI12" s="97"/>
      <c r="AJ12" s="97"/>
      <c r="AK12" s="97"/>
      <c r="AL12" s="97"/>
      <c r="AM12" s="97"/>
      <c r="AN12" s="97"/>
      <c r="AO12" s="97"/>
      <c r="AP12" s="94"/>
      <c r="AQ12" s="94"/>
      <c r="AR12" s="94"/>
      <c r="AS12" s="94"/>
      <c r="AT12" s="94"/>
      <c r="AU12" s="94"/>
      <c r="AV12" s="94"/>
      <c r="AW12" s="94"/>
      <c r="AX12" s="94"/>
      <c r="AY12" s="94"/>
      <c r="AZ12" s="94"/>
      <c r="BA12" s="94"/>
      <c r="BB12" s="94"/>
      <c r="BC12" s="94"/>
      <c r="BD12" s="94"/>
      <c r="BE12" s="94"/>
      <c r="BF12" s="94"/>
      <c r="BG12" s="94"/>
      <c r="BH12" s="94"/>
      <c r="BI12" s="94"/>
    </row>
    <row r="13" spans="1:61" ht="23.25" customHeight="1" x14ac:dyDescent="0.25">
      <c r="A13" s="16"/>
      <c r="B13" s="34" t="s">
        <v>88</v>
      </c>
      <c r="C13" s="27" t="s">
        <v>84</v>
      </c>
      <c r="D13" s="37"/>
      <c r="E13" s="30"/>
      <c r="F13" s="30"/>
      <c r="G13" s="30"/>
      <c r="H13" s="31"/>
      <c r="I13" s="114"/>
      <c r="J13" s="94"/>
      <c r="K13" s="94"/>
      <c r="L13" s="94"/>
      <c r="M13" s="94"/>
      <c r="N13" s="94"/>
      <c r="O13" s="94"/>
      <c r="P13" s="94"/>
      <c r="Q13" s="94"/>
      <c r="R13" s="94"/>
      <c r="S13" s="94"/>
      <c r="T13" s="94"/>
      <c r="U13" s="94"/>
      <c r="V13" s="94"/>
      <c r="W13" s="94"/>
      <c r="X13" s="94"/>
      <c r="Y13" s="94"/>
      <c r="Z13" s="94"/>
      <c r="AA13" s="94"/>
      <c r="AB13" s="96"/>
      <c r="AC13" s="94"/>
      <c r="AD13" s="94"/>
      <c r="AE13" s="94"/>
      <c r="AG13" s="97"/>
      <c r="AH13" s="97"/>
      <c r="AI13" s="97"/>
      <c r="AJ13" s="97"/>
      <c r="AK13" s="97"/>
      <c r="AL13" s="97"/>
      <c r="AM13" s="97"/>
      <c r="AN13" s="97"/>
      <c r="AO13" s="97"/>
      <c r="AP13" s="94"/>
      <c r="AQ13" s="94"/>
      <c r="AR13" s="94"/>
      <c r="AS13" s="94"/>
      <c r="AT13" s="94"/>
      <c r="AU13" s="94"/>
      <c r="AV13" s="94"/>
      <c r="AW13" s="94"/>
      <c r="AX13" s="94"/>
      <c r="AY13" s="94"/>
      <c r="AZ13" s="94"/>
      <c r="BA13" s="94"/>
      <c r="BB13" s="94"/>
      <c r="BC13" s="94"/>
      <c r="BD13" s="94"/>
      <c r="BE13" s="94"/>
      <c r="BF13" s="94"/>
      <c r="BG13" s="94"/>
      <c r="BH13" s="94"/>
      <c r="BI13" s="94"/>
    </row>
    <row r="14" spans="1:61" ht="14.25" customHeight="1" x14ac:dyDescent="0.25">
      <c r="A14" s="16"/>
      <c r="B14" s="38"/>
      <c r="C14" s="39"/>
      <c r="D14" s="14"/>
      <c r="E14" s="14"/>
      <c r="F14" s="14"/>
      <c r="G14" s="14"/>
      <c r="H14" s="40"/>
      <c r="I14" s="95"/>
      <c r="J14" s="94"/>
      <c r="K14" s="94"/>
      <c r="L14" s="94"/>
      <c r="M14" s="94"/>
      <c r="N14" s="94"/>
      <c r="O14" s="94"/>
      <c r="P14" s="94"/>
      <c r="Q14" s="94"/>
      <c r="R14" s="94"/>
      <c r="S14" s="94"/>
      <c r="T14" s="94"/>
      <c r="U14" s="94"/>
      <c r="V14" s="94"/>
      <c r="W14" s="94"/>
      <c r="X14" s="94"/>
      <c r="Y14" s="94"/>
      <c r="Z14" s="94"/>
      <c r="AA14" s="94"/>
      <c r="AB14" s="96"/>
      <c r="AC14" s="94"/>
      <c r="AD14" s="94"/>
      <c r="AE14" s="94"/>
      <c r="AG14" s="97"/>
      <c r="AH14" s="97"/>
      <c r="AI14" s="97"/>
      <c r="AJ14" s="97"/>
      <c r="AK14" s="97"/>
      <c r="AL14" s="97"/>
      <c r="AM14" s="97"/>
      <c r="AN14" s="97"/>
      <c r="AO14" s="97"/>
      <c r="AP14" s="94"/>
      <c r="AQ14" s="94"/>
      <c r="AR14" s="94"/>
      <c r="AS14" s="94"/>
      <c r="AT14" s="94"/>
      <c r="AU14" s="94"/>
      <c r="AV14" s="94"/>
      <c r="AW14" s="94"/>
      <c r="AX14" s="94"/>
      <c r="AY14" s="94"/>
      <c r="AZ14" s="94"/>
      <c r="BA14" s="94"/>
      <c r="BB14" s="94"/>
      <c r="BC14" s="94"/>
      <c r="BD14" s="94"/>
      <c r="BE14" s="94"/>
      <c r="BF14" s="94"/>
      <c r="BG14" s="94"/>
      <c r="BH14" s="94"/>
      <c r="BI14" s="94"/>
    </row>
    <row r="15" spans="1:61" ht="18" hidden="1" customHeight="1" thickBot="1" x14ac:dyDescent="0.3">
      <c r="A15" s="16"/>
      <c r="B15" s="32" t="s">
        <v>105</v>
      </c>
      <c r="C15" s="33"/>
      <c r="D15" s="77"/>
      <c r="E15" s="77"/>
      <c r="F15" s="77"/>
      <c r="G15" s="77"/>
      <c r="H15" s="78"/>
      <c r="I15" s="95"/>
      <c r="J15" s="94"/>
      <c r="K15" s="94"/>
      <c r="L15" s="94"/>
      <c r="M15" s="94"/>
      <c r="N15" s="94"/>
      <c r="O15" s="94"/>
      <c r="P15" s="94"/>
      <c r="Q15" s="94"/>
      <c r="R15" s="94"/>
      <c r="S15" s="94"/>
      <c r="T15" s="94"/>
      <c r="U15" s="94"/>
      <c r="V15" s="94"/>
      <c r="W15" s="94"/>
      <c r="X15" s="94"/>
      <c r="Y15" s="94"/>
      <c r="Z15" s="94"/>
      <c r="AA15" s="94"/>
      <c r="AB15" s="96"/>
      <c r="AC15" s="94"/>
      <c r="AD15" s="94"/>
      <c r="AE15" s="94"/>
      <c r="AG15" s="97"/>
      <c r="AH15" s="97"/>
      <c r="AI15" s="97"/>
      <c r="AJ15" s="97"/>
      <c r="AK15" s="97"/>
      <c r="AL15" s="97"/>
      <c r="AM15" s="97"/>
      <c r="AN15" s="97"/>
      <c r="AO15" s="97"/>
      <c r="AP15" s="94"/>
      <c r="AQ15" s="94"/>
      <c r="AR15" s="94"/>
      <c r="AS15" s="94"/>
      <c r="AT15" s="94"/>
      <c r="AU15" s="94"/>
      <c r="AV15" s="94"/>
      <c r="AW15" s="94"/>
      <c r="AX15" s="94"/>
      <c r="AY15" s="94"/>
      <c r="AZ15" s="94"/>
      <c r="BA15" s="94"/>
      <c r="BB15" s="94"/>
      <c r="BC15" s="94"/>
      <c r="BD15" s="94"/>
      <c r="BE15" s="94"/>
      <c r="BF15" s="94"/>
      <c r="BG15" s="94"/>
      <c r="BH15" s="94"/>
      <c r="BI15" s="94"/>
    </row>
    <row r="16" spans="1:61" ht="23.25" hidden="1" customHeight="1" thickBot="1" x14ac:dyDescent="0.3">
      <c r="A16" s="16"/>
      <c r="B16" s="34" t="s">
        <v>95</v>
      </c>
      <c r="C16" s="214" t="s">
        <v>101</v>
      </c>
      <c r="D16" s="79"/>
      <c r="E16" s="73"/>
      <c r="F16" s="73"/>
      <c r="G16" s="73"/>
      <c r="H16" s="74"/>
      <c r="I16" s="95"/>
      <c r="J16" s="94"/>
      <c r="K16" s="94"/>
      <c r="L16" s="94"/>
      <c r="M16" s="94"/>
      <c r="N16" s="94"/>
      <c r="O16" s="94"/>
      <c r="P16" s="94"/>
      <c r="Q16" s="94"/>
      <c r="R16" s="94"/>
      <c r="S16" s="94"/>
      <c r="T16" s="94"/>
      <c r="U16" s="94"/>
      <c r="V16" s="94"/>
      <c r="W16" s="94"/>
      <c r="X16" s="94"/>
      <c r="Y16" s="94"/>
      <c r="Z16" s="94"/>
      <c r="AA16" s="94"/>
      <c r="AB16" s="96"/>
      <c r="AC16" s="94"/>
      <c r="AD16" s="94"/>
      <c r="AE16" s="94"/>
      <c r="AG16" s="97"/>
      <c r="AH16" s="97"/>
      <c r="AI16" s="97"/>
      <c r="AJ16" s="97"/>
      <c r="AK16" s="97"/>
      <c r="AL16" s="97"/>
      <c r="AM16" s="97"/>
      <c r="AN16" s="97"/>
      <c r="AO16" s="97"/>
      <c r="AP16" s="94"/>
      <c r="AQ16" s="94"/>
      <c r="AR16" s="94"/>
      <c r="AS16" s="94"/>
      <c r="AT16" s="94"/>
      <c r="AU16" s="94"/>
      <c r="AV16" s="94"/>
      <c r="AW16" s="94"/>
      <c r="AX16" s="94"/>
      <c r="AY16" s="94"/>
      <c r="AZ16" s="94"/>
      <c r="BA16" s="94"/>
      <c r="BB16" s="94"/>
      <c r="BC16" s="94"/>
      <c r="BD16" s="94"/>
      <c r="BE16" s="94"/>
      <c r="BF16" s="94"/>
      <c r="BG16" s="94"/>
      <c r="BH16" s="94"/>
      <c r="BI16" s="94"/>
    </row>
    <row r="17" spans="1:61" ht="14.25" hidden="1" customHeight="1" x14ac:dyDescent="0.25">
      <c r="A17" s="16"/>
      <c r="B17" s="80"/>
      <c r="C17" s="81"/>
      <c r="D17" s="75"/>
      <c r="E17" s="75"/>
      <c r="F17" s="75"/>
      <c r="G17" s="75"/>
      <c r="H17" s="76"/>
      <c r="I17" s="95"/>
      <c r="J17" s="94"/>
      <c r="K17" s="94"/>
      <c r="L17" s="94"/>
      <c r="M17" s="94"/>
      <c r="N17" s="94"/>
      <c r="O17" s="94"/>
      <c r="P17" s="94"/>
      <c r="Q17" s="94"/>
      <c r="R17" s="94"/>
      <c r="S17" s="94"/>
      <c r="T17" s="94"/>
      <c r="U17" s="94"/>
      <c r="V17" s="94"/>
      <c r="W17" s="94"/>
      <c r="X17" s="94"/>
      <c r="Y17" s="94"/>
      <c r="Z17" s="94"/>
      <c r="AA17" s="94"/>
      <c r="AB17" s="96"/>
      <c r="AC17" s="94"/>
      <c r="AD17" s="94"/>
      <c r="AE17" s="94"/>
      <c r="AG17" s="97"/>
      <c r="AH17" s="97"/>
      <c r="AI17" s="97"/>
      <c r="AJ17" s="97"/>
      <c r="AK17" s="97"/>
      <c r="AL17" s="97"/>
      <c r="AM17" s="97"/>
      <c r="AN17" s="97"/>
      <c r="AO17" s="97"/>
      <c r="AP17" s="94"/>
      <c r="AQ17" s="94"/>
      <c r="AR17" s="94"/>
      <c r="AS17" s="94"/>
      <c r="AT17" s="94"/>
      <c r="AU17" s="94"/>
      <c r="AV17" s="94"/>
      <c r="AW17" s="94"/>
      <c r="AX17" s="94"/>
      <c r="AY17" s="94"/>
      <c r="AZ17" s="94"/>
      <c r="BA17" s="94"/>
      <c r="BB17" s="94"/>
      <c r="BC17" s="94"/>
      <c r="BD17" s="94"/>
      <c r="BE17" s="94"/>
      <c r="BF17" s="94"/>
      <c r="BG17" s="94"/>
      <c r="BH17" s="94"/>
      <c r="BI17" s="94"/>
    </row>
    <row r="18" spans="1:61" ht="18.75" x14ac:dyDescent="0.25">
      <c r="A18" s="16"/>
      <c r="B18" s="210" t="s">
        <v>10</v>
      </c>
      <c r="C18" s="211"/>
      <c r="D18" s="211"/>
      <c r="E18" s="211"/>
      <c r="F18" s="211"/>
      <c r="G18" s="211"/>
      <c r="H18" s="212"/>
      <c r="I18" s="95"/>
      <c r="J18" s="94"/>
      <c r="K18" s="94"/>
      <c r="L18" s="94"/>
      <c r="M18" s="94"/>
      <c r="N18" s="94"/>
      <c r="O18" s="94"/>
      <c r="P18" s="94"/>
      <c r="Q18" s="94"/>
      <c r="R18" s="94"/>
      <c r="S18" s="94"/>
      <c r="T18" s="94"/>
      <c r="U18" s="94"/>
      <c r="V18" s="94"/>
      <c r="W18" s="94"/>
      <c r="X18" s="94"/>
      <c r="Y18" s="94"/>
      <c r="Z18" s="94"/>
      <c r="AA18" s="94"/>
      <c r="AB18" s="96"/>
      <c r="AC18" s="94"/>
      <c r="AD18" s="94"/>
      <c r="AE18" s="94"/>
      <c r="AG18" s="97"/>
      <c r="AH18" s="97"/>
      <c r="AI18" s="97"/>
      <c r="AJ18" s="97"/>
      <c r="AK18" s="97"/>
      <c r="AL18" s="97"/>
      <c r="AM18" s="97"/>
      <c r="AN18" s="97"/>
      <c r="AO18" s="97"/>
      <c r="AP18" s="94"/>
      <c r="AQ18" s="94"/>
      <c r="AR18" s="94"/>
      <c r="AS18" s="94"/>
      <c r="AT18" s="94"/>
      <c r="AU18" s="94"/>
      <c r="AV18" s="94"/>
      <c r="AW18" s="94"/>
      <c r="AX18" s="94"/>
      <c r="AY18" s="94"/>
      <c r="AZ18" s="94"/>
      <c r="BA18" s="94"/>
      <c r="BB18" s="94"/>
      <c r="BC18" s="94"/>
      <c r="BD18" s="94"/>
      <c r="BE18" s="94"/>
      <c r="BF18" s="94"/>
      <c r="BG18" s="94"/>
      <c r="BH18" s="94"/>
      <c r="BI18" s="94"/>
    </row>
    <row r="19" spans="1:61" x14ac:dyDescent="0.25">
      <c r="A19" s="16"/>
      <c r="B19" s="183" t="s">
        <v>10</v>
      </c>
      <c r="C19" s="184"/>
      <c r="D19" s="184"/>
      <c r="E19" s="41">
        <f>IF(N7&gt;K7,Q7*N7,Q7*K7)</f>
        <v>0</v>
      </c>
      <c r="F19" s="166"/>
      <c r="G19" s="42">
        <f>IF(E19&lt;Q7,Q7,E19)</f>
        <v>0</v>
      </c>
      <c r="H19" s="120">
        <f>IF(OR($B$7=0,C13="Select Destination",C10="Select Origin",C16="Select Customer"),0,G19)</f>
        <v>0</v>
      </c>
      <c r="I19" s="95"/>
      <c r="J19" s="94"/>
      <c r="K19" s="94"/>
      <c r="L19" s="94"/>
      <c r="M19" s="94"/>
      <c r="N19" s="94"/>
      <c r="O19" s="94"/>
      <c r="P19" s="94"/>
      <c r="Q19" s="94"/>
      <c r="R19" s="94"/>
      <c r="S19" s="94"/>
      <c r="T19" s="94"/>
      <c r="U19" s="94"/>
      <c r="V19" s="94"/>
      <c r="W19" s="94"/>
      <c r="X19" s="94"/>
      <c r="Y19" s="94"/>
      <c r="Z19" s="94"/>
      <c r="AA19" s="94"/>
      <c r="AB19" s="96"/>
      <c r="AC19" s="94"/>
      <c r="AD19" s="94"/>
      <c r="AE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row>
    <row r="20" spans="1:61" x14ac:dyDescent="0.25">
      <c r="A20" s="16"/>
      <c r="B20" s="183" t="s">
        <v>2</v>
      </c>
      <c r="C20" s="184"/>
      <c r="D20" s="184"/>
      <c r="E20" s="163">
        <v>65</v>
      </c>
      <c r="F20" s="166"/>
      <c r="G20" s="42">
        <f>IF(J7=0,0,E20)</f>
        <v>0</v>
      </c>
      <c r="H20" s="120">
        <f>IF(OR($B$7=0,C13="Select Destination",C10="Select Origin",C16="Select Customer"),0,G20)</f>
        <v>0</v>
      </c>
      <c r="I20" s="95"/>
      <c r="J20" s="94"/>
      <c r="K20" s="94"/>
      <c r="L20" s="94"/>
      <c r="M20" s="94"/>
      <c r="N20" s="94"/>
      <c r="O20" s="94"/>
      <c r="P20" s="94"/>
      <c r="Q20" s="94"/>
      <c r="R20" s="94"/>
      <c r="S20" s="94"/>
      <c r="T20" s="94"/>
      <c r="U20" s="94"/>
      <c r="V20" s="94"/>
      <c r="W20" s="94"/>
      <c r="X20" s="94"/>
      <c r="Y20" s="94"/>
      <c r="Z20" s="94"/>
      <c r="AA20" s="94"/>
      <c r="AB20" s="96"/>
      <c r="AC20" s="94"/>
      <c r="AD20" s="94"/>
      <c r="AE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row>
    <row r="21" spans="1:61" x14ac:dyDescent="0.25">
      <c r="A21" s="16"/>
      <c r="B21" s="183" t="s">
        <v>3</v>
      </c>
      <c r="C21" s="184"/>
      <c r="D21" s="184"/>
      <c r="E21" s="49">
        <v>15</v>
      </c>
      <c r="F21" s="166"/>
      <c r="G21" s="42">
        <f>IF(J7=0,0,E21)</f>
        <v>0</v>
      </c>
      <c r="H21" s="120">
        <f>IF(OR($B$7=0,C13="Select Destination",C10="Select Origin",C16="Select Customer"),0,G21)</f>
        <v>0</v>
      </c>
      <c r="I21" s="95"/>
      <c r="J21" s="94"/>
      <c r="K21" s="94"/>
      <c r="L21" s="94"/>
      <c r="M21" s="94"/>
      <c r="N21" s="94"/>
      <c r="O21" s="94"/>
      <c r="P21" s="94"/>
      <c r="Q21" s="94"/>
      <c r="R21" s="94"/>
      <c r="S21" s="94"/>
      <c r="T21" s="94"/>
      <c r="U21" s="94"/>
      <c r="V21" s="94"/>
      <c r="W21" s="94"/>
      <c r="X21" s="94"/>
      <c r="Y21" s="94"/>
      <c r="Z21" s="94"/>
      <c r="AA21" s="94"/>
      <c r="AB21" s="96"/>
      <c r="AC21" s="94"/>
      <c r="AD21" s="94"/>
      <c r="AE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row>
    <row r="22" spans="1:61" x14ac:dyDescent="0.25">
      <c r="A22" s="16"/>
      <c r="B22" s="183" t="s">
        <v>4</v>
      </c>
      <c r="C22" s="184"/>
      <c r="D22" s="184"/>
      <c r="E22" s="49">
        <f>IF(4*K7&gt;4,4*K7,4)</f>
        <v>4</v>
      </c>
      <c r="F22" s="166"/>
      <c r="G22" s="42">
        <f>IF(J7=0,0,E22)</f>
        <v>0</v>
      </c>
      <c r="H22" s="120">
        <f>IF(OR($B$7=0,C13="Select Destination",C10="Select Origin",C16="Select Customer"),0,G22)</f>
        <v>0</v>
      </c>
      <c r="I22" s="95"/>
      <c r="J22" s="94"/>
      <c r="K22" s="94"/>
      <c r="L22" s="94"/>
      <c r="M22" s="94"/>
      <c r="N22" s="94"/>
      <c r="O22" s="94"/>
      <c r="P22" s="94"/>
      <c r="Q22" s="94"/>
      <c r="R22" s="94"/>
      <c r="S22" s="94"/>
      <c r="T22" s="94"/>
      <c r="U22" s="94"/>
      <c r="V22" s="94"/>
      <c r="W22" s="94"/>
      <c r="X22" s="94"/>
      <c r="Y22" s="94"/>
      <c r="Z22" s="94"/>
      <c r="AA22" s="94"/>
      <c r="AB22" s="96"/>
      <c r="AC22" s="94"/>
      <c r="AD22" s="94"/>
      <c r="AE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row>
    <row r="23" spans="1:61" s="125" customFormat="1" x14ac:dyDescent="0.25">
      <c r="A23" s="44"/>
      <c r="B23" s="190" t="s">
        <v>13</v>
      </c>
      <c r="C23" s="191"/>
      <c r="D23" s="191"/>
      <c r="E23" s="45"/>
      <c r="F23" s="45"/>
      <c r="G23" s="46"/>
      <c r="H23" s="121">
        <f>SUM(H19:H22)</f>
        <v>0</v>
      </c>
      <c r="I23" s="122"/>
      <c r="J23" s="123"/>
      <c r="K23" s="123"/>
      <c r="L23" s="123"/>
      <c r="M23" s="123"/>
      <c r="N23" s="123"/>
      <c r="O23" s="123"/>
      <c r="P23" s="123"/>
      <c r="Q23" s="123"/>
      <c r="R23" s="123"/>
      <c r="S23" s="123"/>
      <c r="T23" s="123"/>
      <c r="U23" s="123"/>
      <c r="V23" s="123"/>
      <c r="W23" s="123"/>
      <c r="X23" s="123"/>
      <c r="Y23" s="123"/>
      <c r="Z23" s="123"/>
      <c r="AA23" s="123"/>
      <c r="AB23" s="124"/>
      <c r="AC23" s="123"/>
      <c r="AD23" s="123"/>
      <c r="AE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row>
    <row r="24" spans="1:61" ht="7.5" customHeight="1" x14ac:dyDescent="0.25">
      <c r="A24" s="16"/>
      <c r="B24" s="38"/>
      <c r="C24" s="39"/>
      <c r="D24" s="39"/>
      <c r="E24" s="39"/>
      <c r="F24" s="39"/>
      <c r="G24" s="39"/>
      <c r="H24" s="47"/>
      <c r="I24" s="95"/>
      <c r="J24" s="94"/>
      <c r="K24" s="94"/>
      <c r="L24" s="94"/>
      <c r="M24" s="94"/>
      <c r="N24" s="94"/>
      <c r="O24" s="94"/>
      <c r="P24" s="94"/>
      <c r="Q24" s="94"/>
      <c r="R24" s="94"/>
      <c r="S24" s="94"/>
      <c r="T24" s="94"/>
      <c r="U24" s="94"/>
      <c r="V24" s="94"/>
      <c r="W24" s="94"/>
      <c r="X24" s="94"/>
      <c r="Y24" s="94"/>
      <c r="Z24" s="94"/>
      <c r="AA24" s="94"/>
      <c r="AB24" s="96"/>
      <c r="AC24" s="94"/>
      <c r="AD24" s="94"/>
      <c r="AE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row>
    <row r="25" spans="1:61" ht="18.75" x14ac:dyDescent="0.25">
      <c r="A25" s="16"/>
      <c r="B25" s="210" t="s">
        <v>11</v>
      </c>
      <c r="C25" s="211"/>
      <c r="D25" s="211"/>
      <c r="E25" s="211"/>
      <c r="F25" s="211"/>
      <c r="G25" s="211"/>
      <c r="H25" s="212"/>
      <c r="I25" s="95"/>
      <c r="J25" s="94"/>
      <c r="K25" s="94"/>
      <c r="L25" s="94"/>
      <c r="M25" s="94"/>
      <c r="N25" s="94"/>
      <c r="O25" s="94"/>
      <c r="P25" s="94"/>
      <c r="Q25" s="94"/>
      <c r="R25" s="94"/>
      <c r="S25" s="94"/>
      <c r="T25" s="94"/>
      <c r="U25" s="94"/>
      <c r="V25" s="94"/>
      <c r="W25" s="94"/>
      <c r="X25" s="94"/>
      <c r="Y25" s="94"/>
      <c r="Z25" s="94"/>
      <c r="AA25" s="94"/>
      <c r="AB25" s="96"/>
      <c r="AC25" s="94"/>
      <c r="AD25" s="94"/>
      <c r="AE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row>
    <row r="26" spans="1:61" x14ac:dyDescent="0.25">
      <c r="A26" s="16"/>
      <c r="B26" s="183" t="s">
        <v>5</v>
      </c>
      <c r="C26" s="184"/>
      <c r="D26" s="184"/>
      <c r="E26" s="49">
        <f>IF(5*K7&gt;Y7/800*5,5*K7,Y7/800*5)</f>
        <v>0.25</v>
      </c>
      <c r="F26" s="49">
        <f>IF(E26&lt;50,50,E26)</f>
        <v>50</v>
      </c>
      <c r="G26" s="42">
        <f>IF(F26&gt;250,250,F26)</f>
        <v>50</v>
      </c>
      <c r="H26" s="120">
        <f>IF(OR($B$7=0,C13="Select Destination",C10="Select Origin",C16="Select Customer"),0,G26)</f>
        <v>0</v>
      </c>
      <c r="I26" s="95"/>
      <c r="J26" s="94"/>
      <c r="K26" s="94"/>
      <c r="L26" s="94"/>
      <c r="M26" s="94"/>
      <c r="N26" s="94"/>
      <c r="O26" s="94"/>
      <c r="P26" s="94"/>
      <c r="Q26" s="94"/>
      <c r="R26" s="94"/>
      <c r="S26" s="94"/>
      <c r="T26" s="94"/>
      <c r="U26" s="94"/>
      <c r="V26" s="94"/>
      <c r="W26" s="94"/>
      <c r="X26" s="94"/>
      <c r="Y26" s="94"/>
      <c r="Z26" s="94"/>
      <c r="AA26" s="94"/>
      <c r="AB26" s="96"/>
      <c r="AC26" s="94"/>
      <c r="AD26" s="94"/>
      <c r="AE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row>
    <row r="27" spans="1:61" x14ac:dyDescent="0.25">
      <c r="A27" s="16"/>
      <c r="B27" s="183" t="s">
        <v>6</v>
      </c>
      <c r="C27" s="184"/>
      <c r="D27" s="184"/>
      <c r="E27" s="49">
        <f>IF(2.5*K7&gt;Y7/800*2.5,2.5*K7,Y7/800*2.5)</f>
        <v>0.125</v>
      </c>
      <c r="F27" s="49"/>
      <c r="G27" s="42">
        <f>IF(E27&lt;15,15,E27)</f>
        <v>15</v>
      </c>
      <c r="H27" s="120">
        <f>IF(OR($B$7=0,C13="Select Destination",C10="Select Origin",C16="Select Customer"),0,G27)</f>
        <v>0</v>
      </c>
      <c r="I27" s="95"/>
      <c r="J27" s="94"/>
      <c r="K27" s="94"/>
      <c r="L27" s="94"/>
      <c r="M27" s="94"/>
      <c r="N27" s="94"/>
      <c r="O27" s="94"/>
      <c r="P27" s="94"/>
      <c r="Q27" s="94"/>
      <c r="R27" s="94"/>
      <c r="S27" s="94"/>
      <c r="T27" s="94"/>
      <c r="U27" s="94"/>
      <c r="V27" s="94"/>
      <c r="W27" s="94"/>
      <c r="X27" s="94"/>
      <c r="Y27" s="94"/>
      <c r="Z27" s="94"/>
      <c r="AA27" s="94"/>
      <c r="AB27" s="96"/>
      <c r="AC27" s="94"/>
      <c r="AD27" s="94"/>
      <c r="AE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row>
    <row r="28" spans="1:61" x14ac:dyDescent="0.25">
      <c r="A28" s="16"/>
      <c r="B28" s="183" t="s">
        <v>7</v>
      </c>
      <c r="C28" s="184"/>
      <c r="D28" s="184"/>
      <c r="E28" s="49"/>
      <c r="F28" s="49"/>
      <c r="G28" s="42">
        <v>10</v>
      </c>
      <c r="H28" s="120">
        <f>IF(OR($B$7=0,C13="Select Destination",C10="Select Origin",C16="Select Customer"),0,G28)</f>
        <v>0</v>
      </c>
      <c r="I28" s="95"/>
      <c r="J28" s="94"/>
      <c r="K28" s="94"/>
      <c r="L28" s="94"/>
      <c r="M28" s="94"/>
      <c r="N28" s="94"/>
      <c r="O28" s="94"/>
      <c r="P28" s="94"/>
      <c r="Q28" s="94"/>
      <c r="R28" s="94"/>
      <c r="S28" s="94"/>
      <c r="T28" s="94"/>
      <c r="U28" s="94"/>
      <c r="V28" s="94"/>
      <c r="W28" s="94"/>
      <c r="X28" s="94"/>
      <c r="Y28" s="94"/>
      <c r="Z28" s="94"/>
      <c r="AA28" s="94"/>
      <c r="AB28" s="96"/>
      <c r="AC28" s="94"/>
      <c r="AD28" s="94"/>
      <c r="AE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row>
    <row r="29" spans="1:61" s="125" customFormat="1" x14ac:dyDescent="0.25">
      <c r="A29" s="44"/>
      <c r="B29" s="190" t="s">
        <v>13</v>
      </c>
      <c r="C29" s="191"/>
      <c r="D29" s="191"/>
      <c r="E29" s="45"/>
      <c r="F29" s="45"/>
      <c r="G29" s="46"/>
      <c r="H29" s="126">
        <f>SUM(H26:H28)</f>
        <v>0</v>
      </c>
      <c r="I29" s="122"/>
      <c r="J29" s="123"/>
      <c r="K29" s="123"/>
      <c r="L29" s="123"/>
      <c r="M29" s="123"/>
      <c r="N29" s="123"/>
      <c r="O29" s="123"/>
      <c r="P29" s="123"/>
      <c r="Q29" s="123"/>
      <c r="R29" s="123"/>
      <c r="S29" s="123"/>
      <c r="T29" s="123"/>
      <c r="U29" s="123"/>
      <c r="V29" s="123"/>
      <c r="W29" s="123"/>
      <c r="X29" s="123"/>
      <c r="Y29" s="123"/>
      <c r="Z29" s="123"/>
      <c r="AA29" s="123"/>
      <c r="AB29" s="124"/>
      <c r="AC29" s="123"/>
      <c r="AD29" s="123"/>
      <c r="AE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row>
    <row r="30" spans="1:61" ht="7.5" customHeight="1" x14ac:dyDescent="0.25">
      <c r="A30" s="16"/>
      <c r="B30" s="38"/>
      <c r="C30" s="39"/>
      <c r="D30" s="39"/>
      <c r="E30" s="39"/>
      <c r="F30" s="39"/>
      <c r="G30" s="39"/>
      <c r="H30" s="47"/>
      <c r="I30" s="95"/>
      <c r="J30" s="94"/>
      <c r="K30" s="94"/>
      <c r="L30" s="94"/>
      <c r="M30" s="94"/>
      <c r="N30" s="94"/>
      <c r="O30" s="94"/>
      <c r="P30" s="94"/>
      <c r="Q30" s="94"/>
      <c r="R30" s="94"/>
      <c r="S30" s="94"/>
      <c r="T30" s="94"/>
      <c r="U30" s="94"/>
      <c r="V30" s="94"/>
      <c r="W30" s="94"/>
      <c r="X30" s="94"/>
      <c r="Y30" s="94"/>
      <c r="Z30" s="94"/>
      <c r="AA30" s="94"/>
      <c r="AB30" s="96"/>
      <c r="AC30" s="94"/>
      <c r="AD30" s="94"/>
      <c r="AE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row>
    <row r="31" spans="1:61" ht="18.75" x14ac:dyDescent="0.25">
      <c r="A31" s="16"/>
      <c r="B31" s="210" t="s">
        <v>12</v>
      </c>
      <c r="C31" s="211"/>
      <c r="D31" s="211"/>
      <c r="E31" s="211"/>
      <c r="F31" s="211"/>
      <c r="G31" s="211"/>
      <c r="H31" s="212"/>
      <c r="I31" s="95"/>
      <c r="J31" s="94"/>
      <c r="K31" s="94"/>
      <c r="L31" s="94"/>
      <c r="M31" s="94"/>
      <c r="N31" s="94"/>
      <c r="O31" s="94"/>
      <c r="P31" s="94"/>
      <c r="Q31" s="94"/>
      <c r="R31" s="94"/>
      <c r="S31" s="94"/>
      <c r="T31" s="94"/>
      <c r="U31" s="94"/>
      <c r="V31" s="94"/>
      <c r="W31" s="94"/>
      <c r="X31" s="94"/>
      <c r="Y31" s="94"/>
      <c r="Z31" s="94"/>
      <c r="AA31" s="94"/>
      <c r="AB31" s="96"/>
      <c r="AC31" s="94"/>
      <c r="AD31" s="94"/>
      <c r="AE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row>
    <row r="32" spans="1:61" x14ac:dyDescent="0.25">
      <c r="A32" s="16"/>
      <c r="B32" s="183" t="s">
        <v>71</v>
      </c>
      <c r="C32" s="184"/>
      <c r="D32" s="184"/>
      <c r="E32" s="49"/>
      <c r="F32" s="42">
        <f>VLOOKUP(C13,'Trucking Rates'!L2:Z13,15,FALSE)</f>
        <v>0</v>
      </c>
      <c r="G32" s="120">
        <f>IF($B$7=0,0,F32)</f>
        <v>0</v>
      </c>
      <c r="H32" s="36">
        <f>IF(OR(C10="Select Origin",C16="Select Customer"),0,G32)</f>
        <v>0</v>
      </c>
      <c r="I32" s="95"/>
      <c r="J32" s="94"/>
      <c r="K32" s="94"/>
      <c r="L32" s="94"/>
      <c r="M32" s="94"/>
      <c r="N32" s="94"/>
      <c r="O32" s="94"/>
      <c r="P32" s="94"/>
      <c r="Q32" s="94"/>
      <c r="R32" s="94"/>
      <c r="S32" s="94"/>
      <c r="T32" s="94"/>
      <c r="U32" s="94"/>
      <c r="V32" s="94"/>
      <c r="W32" s="94"/>
      <c r="X32" s="94"/>
      <c r="Y32" s="94"/>
      <c r="Z32" s="94"/>
      <c r="AA32" s="94"/>
      <c r="AB32" s="96"/>
      <c r="AC32" s="94"/>
      <c r="AD32" s="94"/>
      <c r="AE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row>
    <row r="33" spans="1:75" x14ac:dyDescent="0.25">
      <c r="A33" s="16"/>
      <c r="B33" s="207" t="s">
        <v>9</v>
      </c>
      <c r="C33" s="208"/>
      <c r="D33" s="209"/>
      <c r="E33" s="48">
        <f>ROUNDUP(K7/1.88+1,0)</f>
        <v>1</v>
      </c>
      <c r="F33" s="49">
        <f>IF(OR(C13="Select Destination",C10="Select Origin",C13="LA / Long Beach CFS"),0,E33*8.5)</f>
        <v>0</v>
      </c>
      <c r="G33" s="42"/>
      <c r="H33" s="120">
        <f>IF(OR($B$7=0,C16="Select Customer"),0,F33)</f>
        <v>0</v>
      </c>
      <c r="I33" s="95"/>
      <c r="J33" s="94"/>
      <c r="K33" s="94"/>
      <c r="L33" s="94"/>
      <c r="M33" s="94"/>
      <c r="N33" s="94"/>
      <c r="O33" s="94"/>
      <c r="P33" s="94"/>
      <c r="Q33" s="94"/>
      <c r="R33" s="94"/>
      <c r="S33" s="94"/>
      <c r="T33" s="94"/>
      <c r="U33" s="94"/>
      <c r="V33" s="94"/>
      <c r="W33" s="94"/>
      <c r="X33" s="94"/>
      <c r="Y33" s="94"/>
      <c r="Z33" s="94"/>
      <c r="AA33" s="94"/>
      <c r="AB33" s="96"/>
      <c r="AC33" s="94"/>
      <c r="AD33" s="94"/>
      <c r="AE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row>
    <row r="34" spans="1:75" x14ac:dyDescent="0.25">
      <c r="A34" s="16"/>
      <c r="B34" s="183" t="s">
        <v>85</v>
      </c>
      <c r="C34" s="184"/>
      <c r="D34" s="184"/>
      <c r="E34" s="48"/>
      <c r="F34" s="48"/>
      <c r="G34" s="42">
        <f>F32*0.22</f>
        <v>0</v>
      </c>
      <c r="H34" s="120">
        <f>IF(OR($B$7=0,C13="Select Destination",C10="Select Origin",C16="Select Customer"),0,G34)</f>
        <v>0</v>
      </c>
      <c r="I34" s="95"/>
      <c r="J34" s="94"/>
      <c r="K34" s="94"/>
      <c r="L34" s="94"/>
      <c r="M34" s="94"/>
      <c r="N34" s="94"/>
      <c r="O34" s="94"/>
      <c r="P34" s="94"/>
      <c r="Q34" s="94"/>
      <c r="R34" s="94"/>
      <c r="S34" s="94"/>
      <c r="T34" s="94"/>
      <c r="U34" s="94"/>
      <c r="V34" s="94"/>
      <c r="W34" s="94"/>
      <c r="X34" s="94"/>
      <c r="Y34" s="94"/>
      <c r="Z34" s="94"/>
      <c r="AA34" s="94"/>
      <c r="AB34" s="96"/>
      <c r="AC34" s="94"/>
      <c r="AD34" s="94"/>
      <c r="AE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row>
    <row r="35" spans="1:75" s="125" customFormat="1" x14ac:dyDescent="0.25">
      <c r="A35" s="44"/>
      <c r="B35" s="190" t="s">
        <v>13</v>
      </c>
      <c r="C35" s="191"/>
      <c r="D35" s="191"/>
      <c r="E35" s="45"/>
      <c r="F35" s="45"/>
      <c r="G35" s="46"/>
      <c r="H35" s="121">
        <f>SUM(H32:H34)</f>
        <v>0</v>
      </c>
      <c r="I35" s="122"/>
      <c r="J35" s="123"/>
      <c r="K35" s="123"/>
      <c r="L35" s="123"/>
      <c r="M35" s="123"/>
      <c r="N35" s="123"/>
      <c r="O35" s="123"/>
      <c r="P35" s="123"/>
      <c r="Q35" s="123"/>
      <c r="R35" s="123"/>
      <c r="S35" s="123"/>
      <c r="T35" s="123"/>
      <c r="U35" s="123"/>
      <c r="V35" s="123"/>
      <c r="W35" s="123"/>
      <c r="X35" s="123"/>
      <c r="Y35" s="123"/>
      <c r="Z35" s="123"/>
      <c r="AA35" s="123"/>
      <c r="AB35" s="124"/>
      <c r="AC35" s="123"/>
      <c r="AD35" s="123"/>
      <c r="AE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row>
    <row r="36" spans="1:75" ht="7.5" customHeight="1" x14ac:dyDescent="0.25">
      <c r="A36" s="16"/>
      <c r="B36" s="168"/>
      <c r="C36" s="169"/>
      <c r="D36" s="169"/>
      <c r="E36" s="169"/>
      <c r="F36" s="169"/>
      <c r="G36" s="169"/>
      <c r="H36" s="170"/>
      <c r="I36" s="95"/>
      <c r="J36" s="94"/>
      <c r="K36" s="94"/>
      <c r="L36" s="94"/>
      <c r="M36" s="94"/>
      <c r="N36" s="94"/>
      <c r="O36" s="94"/>
      <c r="P36" s="94"/>
      <c r="Q36" s="94"/>
      <c r="R36" s="94"/>
      <c r="S36" s="94"/>
      <c r="T36" s="94"/>
      <c r="U36" s="94"/>
      <c r="V36" s="94"/>
      <c r="W36" s="94"/>
      <c r="X36" s="94"/>
      <c r="Y36" s="94"/>
      <c r="Z36" s="94"/>
      <c r="AA36" s="94"/>
      <c r="AB36" s="96"/>
      <c r="AC36" s="94"/>
      <c r="AD36" s="94"/>
      <c r="AE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row>
    <row r="37" spans="1:75" s="131" customFormat="1" ht="18.75" x14ac:dyDescent="0.25">
      <c r="A37" s="50"/>
      <c r="B37" s="192" t="s">
        <v>14</v>
      </c>
      <c r="C37" s="193"/>
      <c r="D37" s="193"/>
      <c r="E37" s="51"/>
      <c r="F37" s="51"/>
      <c r="G37" s="52"/>
      <c r="H37" s="127">
        <f>SUM(H23,H29,H35)</f>
        <v>0</v>
      </c>
      <c r="I37" s="128"/>
      <c r="J37" s="129"/>
      <c r="K37" s="129"/>
      <c r="L37" s="129"/>
      <c r="M37" s="129"/>
      <c r="N37" s="129"/>
      <c r="O37" s="129"/>
      <c r="P37" s="129"/>
      <c r="Q37" s="129"/>
      <c r="R37" s="129"/>
      <c r="S37" s="129"/>
      <c r="T37" s="129"/>
      <c r="U37" s="129"/>
      <c r="V37" s="129"/>
      <c r="W37" s="129"/>
      <c r="X37" s="129"/>
      <c r="Y37" s="129"/>
      <c r="Z37" s="129"/>
      <c r="AA37" s="129"/>
      <c r="AB37" s="130"/>
      <c r="AC37" s="129"/>
      <c r="AD37" s="129"/>
      <c r="AE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row>
    <row r="38" spans="1:75" ht="8.1" customHeight="1" x14ac:dyDescent="0.25">
      <c r="A38" s="16"/>
      <c r="B38" s="168"/>
      <c r="C38" s="169"/>
      <c r="D38" s="169"/>
      <c r="E38" s="169"/>
      <c r="F38" s="169"/>
      <c r="G38" s="169"/>
      <c r="H38" s="170"/>
      <c r="I38" s="95"/>
      <c r="J38" s="94"/>
      <c r="K38" s="94"/>
      <c r="L38" s="94"/>
      <c r="M38" s="94"/>
      <c r="N38" s="94"/>
      <c r="O38" s="94"/>
      <c r="P38" s="94"/>
      <c r="Q38" s="94"/>
      <c r="R38" s="94"/>
      <c r="S38" s="94"/>
      <c r="T38" s="94"/>
      <c r="U38" s="94"/>
      <c r="V38" s="94"/>
      <c r="W38" s="94"/>
      <c r="X38" s="94"/>
      <c r="Y38" s="94"/>
      <c r="Z38" s="94"/>
      <c r="AA38" s="94"/>
      <c r="AB38" s="96"/>
      <c r="AC38" s="94"/>
      <c r="AD38" s="94"/>
      <c r="AE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row>
    <row r="39" spans="1:75" ht="15.75" customHeight="1" x14ac:dyDescent="0.25">
      <c r="A39" s="16"/>
      <c r="B39" s="188" t="s">
        <v>92</v>
      </c>
      <c r="C39" s="189"/>
      <c r="D39" s="189"/>
      <c r="E39" s="63"/>
      <c r="F39" s="63"/>
      <c r="G39" s="64" t="e">
        <f>H37/M7</f>
        <v>#DIV/0!</v>
      </c>
      <c r="H39" s="132">
        <f>IF($B$7=0,0,G39)</f>
        <v>0</v>
      </c>
      <c r="I39" s="95"/>
      <c r="J39" s="94"/>
      <c r="K39" s="94"/>
      <c r="L39" s="94"/>
      <c r="M39" s="94"/>
      <c r="N39" s="94"/>
      <c r="O39" s="94"/>
      <c r="P39" s="94"/>
      <c r="Q39" s="94"/>
      <c r="R39" s="94"/>
      <c r="S39" s="94"/>
      <c r="T39" s="94"/>
      <c r="U39" s="94"/>
      <c r="V39" s="94"/>
      <c r="W39" s="94"/>
      <c r="X39" s="94"/>
      <c r="Y39" s="94"/>
      <c r="Z39" s="94"/>
      <c r="AA39" s="94"/>
      <c r="AB39" s="96"/>
      <c r="AC39" s="94"/>
      <c r="AD39" s="94"/>
      <c r="AE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row>
    <row r="40" spans="1:75" ht="8.25" customHeight="1" thickBot="1" x14ac:dyDescent="0.3">
      <c r="A40" s="67"/>
      <c r="B40" s="68"/>
      <c r="C40" s="69"/>
      <c r="D40" s="69"/>
      <c r="E40" s="70"/>
      <c r="F40" s="70"/>
      <c r="G40" s="71"/>
      <c r="H40" s="133"/>
      <c r="I40" s="134"/>
      <c r="J40" s="99"/>
      <c r="K40" s="99"/>
      <c r="L40" s="99"/>
      <c r="M40" s="99"/>
      <c r="N40" s="99"/>
      <c r="O40" s="99"/>
      <c r="P40" s="99"/>
      <c r="Q40" s="99"/>
      <c r="R40" s="99"/>
      <c r="S40" s="99"/>
      <c r="T40" s="99"/>
      <c r="U40" s="99"/>
      <c r="V40" s="99"/>
      <c r="W40" s="99"/>
      <c r="X40" s="99"/>
      <c r="Y40" s="99"/>
      <c r="Z40" s="99"/>
      <c r="AA40" s="99"/>
      <c r="AB40" s="100"/>
      <c r="AC40" s="99"/>
      <c r="AD40" s="99"/>
      <c r="AE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row>
    <row r="41" spans="1:75" ht="18.75" x14ac:dyDescent="0.25">
      <c r="A41" s="67"/>
      <c r="B41" s="185" t="s">
        <v>81</v>
      </c>
      <c r="C41" s="186"/>
      <c r="D41" s="186"/>
      <c r="E41" s="186"/>
      <c r="F41" s="186"/>
      <c r="G41" s="186"/>
      <c r="H41" s="187"/>
      <c r="I41" s="134"/>
      <c r="J41" s="99"/>
      <c r="K41" s="99"/>
      <c r="L41" s="99"/>
      <c r="M41" s="99"/>
      <c r="N41" s="99"/>
      <c r="O41" s="99"/>
      <c r="P41" s="99"/>
      <c r="Q41" s="99"/>
      <c r="R41" s="99"/>
      <c r="S41" s="99"/>
      <c r="T41" s="99"/>
      <c r="U41" s="99"/>
      <c r="V41" s="99"/>
      <c r="W41" s="99"/>
      <c r="X41" s="99"/>
      <c r="Y41" s="99"/>
      <c r="Z41" s="99"/>
      <c r="AA41" s="99"/>
      <c r="AB41" s="100"/>
      <c r="AC41" s="99"/>
      <c r="AD41" s="99"/>
      <c r="AE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row>
    <row r="42" spans="1:75" x14ac:dyDescent="0.25">
      <c r="A42" s="16"/>
      <c r="B42" s="183" t="s">
        <v>82</v>
      </c>
      <c r="C42" s="184"/>
      <c r="D42" s="184"/>
      <c r="E42" s="135">
        <f>E46-E45</f>
        <v>0</v>
      </c>
      <c r="F42" s="49"/>
      <c r="G42" s="43"/>
      <c r="H42" s="136">
        <f>IF(E42&gt;0,E42,0)</f>
        <v>0</v>
      </c>
      <c r="I42" s="137"/>
      <c r="J42" s="13"/>
      <c r="K42" s="13"/>
      <c r="L42" s="13"/>
      <c r="M42" s="13"/>
      <c r="N42" s="13"/>
      <c r="O42" s="13"/>
      <c r="P42" s="13"/>
      <c r="Q42" s="13"/>
      <c r="R42" s="13"/>
      <c r="S42" s="13"/>
      <c r="T42" s="13"/>
      <c r="U42" s="13"/>
      <c r="V42" s="13"/>
      <c r="W42" s="13"/>
      <c r="X42" s="13"/>
      <c r="Y42" s="13"/>
      <c r="Z42" s="13"/>
      <c r="AA42" s="13"/>
      <c r="AB42" s="87"/>
      <c r="AC42" s="13"/>
      <c r="AD42" s="13"/>
      <c r="AE42" s="13"/>
      <c r="AF42" s="138"/>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row>
    <row r="43" spans="1:75" x14ac:dyDescent="0.25">
      <c r="A43" s="16"/>
      <c r="B43" s="176" t="s">
        <v>70</v>
      </c>
      <c r="C43" s="177"/>
      <c r="D43" s="177"/>
      <c r="E43" s="177"/>
      <c r="F43" s="177"/>
      <c r="G43" s="177"/>
      <c r="H43" s="178"/>
      <c r="I43" s="137"/>
      <c r="J43" s="13"/>
      <c r="K43" s="13"/>
      <c r="L43" s="13"/>
      <c r="M43" s="13"/>
      <c r="N43" s="13"/>
      <c r="O43" s="13"/>
      <c r="P43" s="13"/>
      <c r="Q43" s="13"/>
      <c r="R43" s="13"/>
      <c r="S43" s="13"/>
      <c r="T43" s="13"/>
      <c r="U43" s="13"/>
      <c r="V43" s="13"/>
      <c r="W43" s="13"/>
      <c r="X43" s="13"/>
      <c r="Y43" s="13"/>
      <c r="Z43" s="13"/>
      <c r="AA43" s="13"/>
      <c r="AB43" s="87"/>
      <c r="AC43" s="13"/>
      <c r="AD43" s="13"/>
      <c r="AE43" s="13"/>
      <c r="AF43" s="138"/>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row>
    <row r="44" spans="1:75" x14ac:dyDescent="0.25">
      <c r="A44" s="16"/>
      <c r="B44" s="179" t="s">
        <v>79</v>
      </c>
      <c r="C44" s="180"/>
      <c r="D44" s="139"/>
      <c r="E44" s="140">
        <f>VLOOKUP(C10,'Trucking Rates'!A2:H22,7,FALSE)</f>
        <v>0</v>
      </c>
      <c r="F44" s="141"/>
      <c r="G44" s="139"/>
      <c r="H44" s="142">
        <f>E44</f>
        <v>0</v>
      </c>
      <c r="I44" s="137"/>
      <c r="J44" s="13"/>
      <c r="K44" s="13"/>
      <c r="L44" s="13"/>
      <c r="M44" s="13"/>
      <c r="N44" s="13"/>
      <c r="O44" s="13"/>
      <c r="P44" s="13"/>
      <c r="Q44" s="13"/>
      <c r="R44" s="13"/>
      <c r="S44" s="13"/>
      <c r="T44" s="13"/>
      <c r="U44" s="13"/>
      <c r="V44" s="13"/>
      <c r="W44" s="13"/>
      <c r="X44" s="13"/>
      <c r="Y44" s="13"/>
      <c r="Z44" s="13"/>
      <c r="AA44" s="13"/>
      <c r="AB44" s="87"/>
      <c r="AC44" s="13"/>
      <c r="AD44" s="13"/>
      <c r="AE44" s="13"/>
      <c r="AF44" s="138"/>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row>
    <row r="45" spans="1:75" x14ac:dyDescent="0.25">
      <c r="A45" s="16"/>
      <c r="B45" s="179" t="s">
        <v>68</v>
      </c>
      <c r="C45" s="180"/>
      <c r="D45" s="139"/>
      <c r="E45" s="140">
        <f>VLOOKUP(C10,'Trucking Rates'!A2:H22,8,FALSE)</f>
        <v>0</v>
      </c>
      <c r="F45" s="141"/>
      <c r="G45" s="139"/>
      <c r="H45" s="142">
        <f t="shared" ref="H45:H46" si="0">E45</f>
        <v>0</v>
      </c>
      <c r="I45" s="137"/>
      <c r="J45" s="13"/>
      <c r="K45" s="13"/>
      <c r="L45" s="13"/>
      <c r="M45" s="13"/>
      <c r="N45" s="13"/>
      <c r="O45" s="13"/>
      <c r="P45" s="13"/>
      <c r="Q45" s="13"/>
      <c r="R45" s="13"/>
      <c r="S45" s="13"/>
      <c r="T45" s="13"/>
      <c r="U45" s="13"/>
      <c r="V45" s="13"/>
      <c r="W45" s="13"/>
      <c r="X45" s="13"/>
      <c r="Y45" s="13"/>
      <c r="Z45" s="13"/>
      <c r="AA45" s="13"/>
      <c r="AB45" s="87"/>
      <c r="AC45" s="13"/>
      <c r="AD45" s="13"/>
      <c r="AE45" s="13"/>
      <c r="AF45" s="138"/>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row>
    <row r="46" spans="1:75" ht="16.5" thickBot="1" x14ac:dyDescent="0.3">
      <c r="A46" s="16"/>
      <c r="B46" s="181" t="s">
        <v>69</v>
      </c>
      <c r="C46" s="182"/>
      <c r="D46" s="143"/>
      <c r="E46" s="144">
        <f>VLOOKUP(C13,'Trucking Rates'!L2:AC13,18,FALSE)</f>
        <v>0</v>
      </c>
      <c r="F46" s="145"/>
      <c r="G46" s="143"/>
      <c r="H46" s="146">
        <f t="shared" si="0"/>
        <v>0</v>
      </c>
      <c r="I46" s="137"/>
      <c r="J46" s="13"/>
      <c r="K46" s="13"/>
      <c r="L46" s="13"/>
      <c r="M46" s="13"/>
      <c r="N46" s="13"/>
      <c r="O46" s="13"/>
      <c r="P46" s="13"/>
      <c r="Q46" s="13"/>
      <c r="R46" s="13"/>
      <c r="S46" s="13"/>
      <c r="T46" s="13"/>
      <c r="U46" s="13"/>
      <c r="V46" s="13"/>
      <c r="W46" s="13"/>
      <c r="X46" s="13"/>
      <c r="Y46" s="13"/>
      <c r="Z46" s="13"/>
      <c r="AA46" s="13"/>
      <c r="AB46" s="87"/>
      <c r="AC46" s="13"/>
      <c r="AD46" s="13"/>
      <c r="AE46" s="13"/>
      <c r="AF46" s="138"/>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row>
    <row r="47" spans="1:75" x14ac:dyDescent="0.25">
      <c r="A47" s="13"/>
      <c r="B47" s="18"/>
      <c r="C47" s="18"/>
      <c r="D47" s="18"/>
      <c r="E47" s="18"/>
      <c r="F47" s="18"/>
      <c r="G47" s="18"/>
      <c r="H47" s="147"/>
      <c r="I47" s="86"/>
      <c r="J47" s="13"/>
      <c r="K47" s="13"/>
      <c r="L47" s="13"/>
      <c r="M47" s="13"/>
      <c r="N47" s="13"/>
      <c r="O47" s="13"/>
      <c r="P47" s="13"/>
      <c r="Q47" s="13"/>
      <c r="R47" s="13"/>
      <c r="S47" s="13"/>
      <c r="T47" s="13"/>
      <c r="U47" s="13"/>
      <c r="V47" s="13"/>
      <c r="W47" s="13"/>
      <c r="X47" s="13"/>
      <c r="Y47" s="13"/>
      <c r="Z47" s="13"/>
      <c r="AA47" s="13"/>
      <c r="AB47" s="87"/>
      <c r="AC47" s="13"/>
      <c r="AD47" s="13"/>
      <c r="AE47" s="13"/>
      <c r="AF47" s="138"/>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row>
    <row r="48" spans="1:75" x14ac:dyDescent="0.25">
      <c r="A48" s="13"/>
      <c r="C48" s="13"/>
      <c r="D48" s="13"/>
      <c r="E48" s="13"/>
      <c r="F48" s="13"/>
      <c r="G48" s="13"/>
      <c r="H48" s="148"/>
      <c r="I48" s="86"/>
      <c r="J48" s="13"/>
      <c r="K48" s="13"/>
      <c r="L48" s="13"/>
      <c r="M48" s="13"/>
      <c r="N48" s="13"/>
      <c r="O48" s="13"/>
      <c r="P48" s="13"/>
      <c r="Q48" s="13"/>
      <c r="R48" s="13"/>
      <c r="S48" s="13"/>
      <c r="T48" s="13"/>
      <c r="U48" s="13"/>
      <c r="V48" s="13"/>
      <c r="W48" s="13"/>
      <c r="X48" s="13"/>
      <c r="Y48" s="13"/>
      <c r="Z48" s="13"/>
      <c r="AA48" s="13"/>
      <c r="AB48" s="87"/>
      <c r="AC48" s="13"/>
      <c r="AD48" s="13"/>
      <c r="AE48" s="13"/>
      <c r="AF48" s="138"/>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row>
    <row r="49" spans="1:75" ht="23.25" x14ac:dyDescent="0.25">
      <c r="A49" s="13"/>
      <c r="B49" s="149" t="s">
        <v>87</v>
      </c>
      <c r="C49" s="13"/>
      <c r="D49" s="13"/>
      <c r="E49" s="13"/>
      <c r="F49" s="13"/>
      <c r="G49" s="13"/>
      <c r="H49" s="148"/>
      <c r="I49" s="86"/>
      <c r="J49" s="13"/>
      <c r="K49" s="13"/>
      <c r="L49" s="13"/>
      <c r="M49" s="13"/>
      <c r="N49" s="13"/>
      <c r="O49" s="13"/>
      <c r="P49" s="13"/>
      <c r="Q49" s="13"/>
      <c r="R49" s="13"/>
      <c r="S49" s="13"/>
      <c r="T49" s="13"/>
      <c r="U49" s="13"/>
      <c r="V49" s="13"/>
      <c r="W49" s="13"/>
      <c r="X49" s="13"/>
      <c r="Y49" s="13"/>
      <c r="Z49" s="13"/>
      <c r="AA49" s="13"/>
      <c r="AB49" s="87"/>
      <c r="AC49" s="13"/>
      <c r="AD49" s="13"/>
      <c r="AE49" s="13"/>
      <c r="AF49" s="138"/>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row>
    <row r="50" spans="1:75" x14ac:dyDescent="0.25">
      <c r="A50" s="13"/>
      <c r="C50" s="13"/>
      <c r="D50" s="13"/>
      <c r="E50" s="13"/>
      <c r="F50" s="13"/>
      <c r="G50" s="13"/>
      <c r="H50" s="148"/>
      <c r="I50" s="86"/>
      <c r="J50" s="13"/>
      <c r="K50" s="13"/>
      <c r="L50" s="13"/>
      <c r="M50" s="13"/>
      <c r="N50" s="13"/>
      <c r="O50" s="13"/>
      <c r="P50" s="13"/>
      <c r="Q50" s="13"/>
      <c r="R50" s="13"/>
      <c r="S50" s="13"/>
      <c r="T50" s="13"/>
      <c r="U50" s="13"/>
      <c r="V50" s="13"/>
      <c r="W50" s="13"/>
      <c r="X50" s="13"/>
      <c r="Y50" s="13"/>
      <c r="Z50" s="13"/>
      <c r="AA50" s="13"/>
      <c r="AB50" s="87"/>
      <c r="AC50" s="13"/>
      <c r="AD50" s="13"/>
      <c r="AE50" s="13"/>
      <c r="AF50" s="138"/>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row>
    <row r="51" spans="1:75" x14ac:dyDescent="0.25">
      <c r="A51" s="13"/>
      <c r="B51" s="153" t="s">
        <v>86</v>
      </c>
      <c r="C51" s="13"/>
      <c r="D51" s="13"/>
      <c r="E51" s="13"/>
      <c r="F51" s="13"/>
      <c r="G51" s="13"/>
      <c r="H51" s="148"/>
      <c r="I51" s="86"/>
      <c r="J51" s="13"/>
      <c r="K51" s="13"/>
      <c r="L51" s="13"/>
      <c r="M51" s="13"/>
      <c r="N51" s="13"/>
      <c r="O51" s="13"/>
      <c r="P51" s="13"/>
      <c r="Q51" s="13"/>
      <c r="R51" s="13"/>
      <c r="S51" s="13"/>
      <c r="T51" s="13"/>
      <c r="U51" s="13"/>
      <c r="V51" s="13"/>
      <c r="W51" s="13"/>
      <c r="X51" s="13"/>
      <c r="Y51" s="13"/>
      <c r="Z51" s="13"/>
      <c r="AA51" s="13"/>
      <c r="AB51" s="87"/>
      <c r="AC51" s="13"/>
      <c r="AD51" s="13"/>
      <c r="AE51" s="13"/>
      <c r="AF51" s="138"/>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row>
    <row r="52" spans="1:75" x14ac:dyDescent="0.25">
      <c r="A52" s="13"/>
      <c r="B52" s="150"/>
      <c r="C52" s="13"/>
      <c r="D52" s="13"/>
      <c r="E52" s="13"/>
      <c r="F52" s="13"/>
      <c r="G52" s="13"/>
      <c r="H52" s="148"/>
      <c r="I52" s="86"/>
      <c r="J52" s="13"/>
      <c r="K52" s="13"/>
      <c r="L52" s="13"/>
      <c r="M52" s="13"/>
      <c r="N52" s="13"/>
      <c r="O52" s="13"/>
      <c r="P52" s="13"/>
      <c r="Q52" s="13"/>
      <c r="R52" s="13"/>
      <c r="S52" s="13"/>
      <c r="T52" s="13"/>
      <c r="U52" s="13"/>
      <c r="V52" s="13"/>
      <c r="W52" s="13"/>
      <c r="X52" s="13"/>
      <c r="Y52" s="13"/>
      <c r="Z52" s="13"/>
      <c r="AA52" s="13"/>
      <c r="AB52" s="87"/>
      <c r="AC52" s="13"/>
      <c r="AD52" s="13"/>
      <c r="AE52" s="13"/>
      <c r="AF52" s="138"/>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row>
    <row r="53" spans="1:75" x14ac:dyDescent="0.25">
      <c r="A53" s="13"/>
      <c r="B53" s="195" t="s">
        <v>110</v>
      </c>
      <c r="C53" s="196"/>
      <c r="D53" s="196"/>
      <c r="E53" s="196"/>
      <c r="F53" s="196"/>
      <c r="G53" s="196"/>
      <c r="H53" s="197"/>
      <c r="I53" s="86"/>
      <c r="J53" s="13"/>
      <c r="K53" s="13"/>
      <c r="L53" s="13"/>
      <c r="M53" s="13"/>
      <c r="N53" s="13"/>
      <c r="O53" s="13"/>
      <c r="P53" s="13"/>
      <c r="Q53" s="13"/>
      <c r="R53" s="13"/>
      <c r="S53" s="13"/>
      <c r="T53" s="13"/>
      <c r="U53" s="13"/>
      <c r="V53" s="13"/>
      <c r="W53" s="13"/>
      <c r="X53" s="13"/>
      <c r="Y53" s="13"/>
      <c r="Z53" s="13"/>
      <c r="AA53" s="13"/>
      <c r="AB53" s="87"/>
      <c r="AC53" s="13"/>
      <c r="AD53" s="13"/>
      <c r="AE53" s="13"/>
      <c r="AF53" s="138"/>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row>
    <row r="54" spans="1:75" x14ac:dyDescent="0.25">
      <c r="A54" s="13"/>
      <c r="B54" s="198"/>
      <c r="C54" s="199"/>
      <c r="D54" s="199"/>
      <c r="E54" s="199"/>
      <c r="F54" s="199"/>
      <c r="G54" s="199"/>
      <c r="H54" s="200"/>
      <c r="I54" s="86"/>
      <c r="J54" s="13"/>
      <c r="K54" s="13"/>
      <c r="L54" s="13"/>
      <c r="M54" s="13"/>
      <c r="N54" s="13"/>
      <c r="O54" s="13"/>
      <c r="P54" s="13"/>
      <c r="Q54" s="13"/>
      <c r="R54" s="13"/>
      <c r="S54" s="13"/>
      <c r="T54" s="13"/>
      <c r="U54" s="13"/>
      <c r="V54" s="13"/>
      <c r="W54" s="13"/>
      <c r="X54" s="13"/>
      <c r="Y54" s="13"/>
      <c r="Z54" s="13"/>
      <c r="AA54" s="13"/>
      <c r="AB54" s="87"/>
      <c r="AC54" s="13"/>
      <c r="AD54" s="13"/>
      <c r="AE54" s="13"/>
      <c r="AF54" s="138"/>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row>
    <row r="55" spans="1:75" x14ac:dyDescent="0.25">
      <c r="A55" s="13"/>
      <c r="B55" s="198"/>
      <c r="C55" s="199"/>
      <c r="D55" s="199"/>
      <c r="E55" s="199"/>
      <c r="F55" s="199"/>
      <c r="G55" s="199"/>
      <c r="H55" s="200"/>
      <c r="I55" s="86"/>
      <c r="J55" s="13"/>
      <c r="K55" s="13"/>
      <c r="L55" s="13"/>
      <c r="M55" s="13"/>
      <c r="N55" s="13"/>
      <c r="O55" s="13"/>
      <c r="P55" s="13"/>
      <c r="Q55" s="13"/>
      <c r="R55" s="13"/>
      <c r="S55" s="13"/>
      <c r="T55" s="13"/>
      <c r="U55" s="13"/>
      <c r="V55" s="13"/>
      <c r="W55" s="13"/>
      <c r="X55" s="13"/>
      <c r="Y55" s="13"/>
      <c r="Z55" s="13"/>
      <c r="AA55" s="13"/>
      <c r="AB55" s="87"/>
      <c r="AC55" s="13"/>
      <c r="AD55" s="13"/>
      <c r="AE55" s="13"/>
      <c r="AF55" s="138"/>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row>
    <row r="56" spans="1:75" x14ac:dyDescent="0.25">
      <c r="A56" s="13"/>
      <c r="B56" s="201"/>
      <c r="C56" s="202"/>
      <c r="D56" s="202"/>
      <c r="E56" s="202"/>
      <c r="F56" s="202"/>
      <c r="G56" s="202"/>
      <c r="H56" s="203"/>
      <c r="I56" s="86"/>
      <c r="J56" s="13"/>
      <c r="K56" s="13"/>
      <c r="L56" s="13"/>
      <c r="M56" s="13"/>
      <c r="N56" s="13"/>
      <c r="O56" s="13"/>
      <c r="P56" s="13"/>
      <c r="Q56" s="13"/>
      <c r="R56" s="13"/>
      <c r="S56" s="13"/>
      <c r="T56" s="13"/>
      <c r="U56" s="13"/>
      <c r="V56" s="13"/>
      <c r="W56" s="13"/>
      <c r="X56" s="13"/>
      <c r="Y56" s="13"/>
      <c r="Z56" s="13"/>
      <c r="AA56" s="13"/>
      <c r="AB56" s="87"/>
      <c r="AC56" s="13"/>
      <c r="AD56" s="13"/>
      <c r="AE56" s="13"/>
      <c r="AF56" s="138"/>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row>
    <row r="57" spans="1:75" x14ac:dyDescent="0.25">
      <c r="A57" s="13"/>
      <c r="B57" s="13"/>
      <c r="C57" s="13"/>
      <c r="D57" s="13"/>
      <c r="E57" s="13"/>
      <c r="F57" s="13"/>
      <c r="G57" s="13"/>
      <c r="H57" s="148"/>
      <c r="I57" s="86"/>
      <c r="J57" s="13"/>
      <c r="K57" s="13"/>
      <c r="L57" s="13"/>
      <c r="M57" s="13"/>
      <c r="N57" s="13"/>
      <c r="O57" s="13"/>
      <c r="P57" s="13"/>
      <c r="Q57" s="13"/>
      <c r="R57" s="13"/>
      <c r="S57" s="13"/>
      <c r="T57" s="13"/>
      <c r="U57" s="13"/>
      <c r="V57" s="13"/>
      <c r="W57" s="13"/>
      <c r="X57" s="13"/>
      <c r="Y57" s="13"/>
      <c r="Z57" s="13"/>
      <c r="AA57" s="13"/>
      <c r="AB57" s="87"/>
      <c r="AC57" s="13"/>
      <c r="AD57" s="13"/>
      <c r="AE57" s="13"/>
      <c r="AF57" s="138"/>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row>
    <row r="58" spans="1:75" x14ac:dyDescent="0.25">
      <c r="A58" s="13"/>
      <c r="B58" s="13"/>
      <c r="C58" s="13"/>
      <c r="D58" s="13"/>
      <c r="E58" s="13"/>
      <c r="F58" s="13"/>
      <c r="G58" s="13"/>
      <c r="H58" s="148"/>
      <c r="I58" s="86"/>
      <c r="J58" s="13"/>
      <c r="K58" s="13"/>
      <c r="L58" s="13"/>
      <c r="M58" s="13"/>
      <c r="N58" s="13"/>
      <c r="O58" s="13"/>
      <c r="P58" s="13"/>
      <c r="Q58" s="13"/>
      <c r="R58" s="13"/>
      <c r="S58" s="13"/>
      <c r="T58" s="13"/>
      <c r="U58" s="13"/>
      <c r="V58" s="13"/>
      <c r="W58" s="13"/>
      <c r="X58" s="13"/>
      <c r="Y58" s="13"/>
      <c r="Z58" s="13"/>
      <c r="AA58" s="13"/>
      <c r="AB58" s="87"/>
      <c r="AC58" s="13"/>
      <c r="AD58" s="13"/>
      <c r="AE58" s="13"/>
      <c r="AF58" s="138"/>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row>
    <row r="59" spans="1:75" x14ac:dyDescent="0.25">
      <c r="A59" s="13"/>
      <c r="B59" s="13"/>
      <c r="C59" s="13"/>
      <c r="D59" s="13"/>
      <c r="E59" s="13"/>
      <c r="F59" s="13"/>
      <c r="G59" s="13"/>
      <c r="H59" s="148"/>
      <c r="I59" s="86"/>
      <c r="J59" s="13"/>
      <c r="K59" s="13"/>
      <c r="L59" s="13"/>
      <c r="M59" s="13"/>
      <c r="N59" s="13"/>
      <c r="O59" s="13"/>
      <c r="P59" s="13"/>
      <c r="Q59" s="13"/>
      <c r="R59" s="13"/>
      <c r="S59" s="13"/>
      <c r="T59" s="13"/>
      <c r="U59" s="13"/>
      <c r="V59" s="13"/>
      <c r="W59" s="13"/>
      <c r="X59" s="13"/>
      <c r="Y59" s="13"/>
      <c r="Z59" s="13"/>
      <c r="AA59" s="13"/>
      <c r="AB59" s="87"/>
      <c r="AC59" s="13"/>
      <c r="AD59" s="13"/>
      <c r="AE59" s="13"/>
      <c r="AF59" s="138"/>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row>
    <row r="60" spans="1:75" x14ac:dyDescent="0.25">
      <c r="A60" s="13"/>
      <c r="B60" s="13"/>
      <c r="C60" s="13"/>
      <c r="D60" s="13"/>
      <c r="E60" s="13"/>
      <c r="F60" s="13"/>
      <c r="G60" s="13"/>
      <c r="H60" s="148"/>
      <c r="I60" s="86"/>
      <c r="J60" s="13"/>
      <c r="K60" s="13"/>
      <c r="L60" s="13"/>
      <c r="M60" s="13"/>
      <c r="N60" s="13"/>
      <c r="O60" s="13"/>
      <c r="P60" s="13"/>
      <c r="Q60" s="13"/>
      <c r="R60" s="13"/>
      <c r="S60" s="13"/>
      <c r="T60" s="13"/>
      <c r="U60" s="13"/>
      <c r="V60" s="13"/>
      <c r="W60" s="13"/>
      <c r="X60" s="13"/>
      <c r="Y60" s="13"/>
      <c r="Z60" s="13"/>
      <c r="AA60" s="13"/>
      <c r="AB60" s="87"/>
      <c r="AC60" s="13"/>
      <c r="AD60" s="13"/>
      <c r="AE60" s="13"/>
      <c r="AF60" s="138"/>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row>
    <row r="61" spans="1:75" x14ac:dyDescent="0.25">
      <c r="A61" s="13"/>
      <c r="B61" s="13"/>
      <c r="C61" s="13"/>
      <c r="D61" s="13"/>
      <c r="E61" s="13"/>
      <c r="F61" s="13"/>
      <c r="G61" s="13"/>
      <c r="H61" s="148"/>
      <c r="I61" s="86"/>
      <c r="J61" s="13"/>
      <c r="K61" s="13"/>
      <c r="L61" s="13"/>
      <c r="M61" s="13"/>
      <c r="N61" s="13"/>
      <c r="O61" s="13"/>
      <c r="P61" s="13"/>
      <c r="Q61" s="13"/>
      <c r="R61" s="13"/>
      <c r="S61" s="13"/>
      <c r="T61" s="13"/>
      <c r="U61" s="13"/>
      <c r="V61" s="13"/>
      <c r="W61" s="13"/>
      <c r="X61" s="13"/>
      <c r="Y61" s="13"/>
      <c r="Z61" s="13"/>
      <c r="AA61" s="13"/>
      <c r="AB61" s="87"/>
      <c r="AC61" s="13"/>
      <c r="AD61" s="13"/>
      <c r="AE61" s="13"/>
      <c r="AF61" s="138"/>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row>
    <row r="62" spans="1:75" x14ac:dyDescent="0.25">
      <c r="A62" s="13"/>
      <c r="B62" s="13"/>
      <c r="C62" s="13"/>
      <c r="D62" s="13"/>
      <c r="E62" s="13"/>
      <c r="F62" s="13"/>
      <c r="G62" s="13"/>
      <c r="H62" s="148"/>
      <c r="I62" s="86"/>
      <c r="J62" s="13"/>
      <c r="K62" s="13"/>
      <c r="L62" s="13"/>
      <c r="M62" s="13"/>
      <c r="N62" s="13"/>
      <c r="O62" s="13"/>
      <c r="P62" s="13"/>
      <c r="Q62" s="13"/>
      <c r="R62" s="13"/>
      <c r="S62" s="13"/>
      <c r="T62" s="13"/>
      <c r="U62" s="13"/>
      <c r="V62" s="13"/>
      <c r="W62" s="13"/>
      <c r="X62" s="13"/>
      <c r="Y62" s="13"/>
      <c r="Z62" s="13"/>
      <c r="AA62" s="13"/>
      <c r="AB62" s="87"/>
      <c r="AC62" s="13"/>
      <c r="AD62" s="13"/>
      <c r="AE62" s="13"/>
      <c r="AF62" s="138"/>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row>
    <row r="63" spans="1:75" x14ac:dyDescent="0.25">
      <c r="A63" s="13"/>
      <c r="B63" s="13"/>
      <c r="C63" s="13"/>
      <c r="D63" s="13"/>
      <c r="E63" s="13"/>
      <c r="F63" s="13"/>
      <c r="G63" s="13"/>
      <c r="H63" s="148"/>
      <c r="I63" s="86"/>
      <c r="J63" s="13"/>
      <c r="K63" s="13"/>
      <c r="L63" s="13"/>
      <c r="M63" s="13"/>
      <c r="N63" s="13"/>
      <c r="O63" s="13"/>
      <c r="P63" s="13"/>
      <c r="Q63" s="13"/>
      <c r="R63" s="13"/>
      <c r="S63" s="13"/>
      <c r="T63" s="13"/>
      <c r="U63" s="13"/>
      <c r="V63" s="13"/>
      <c r="W63" s="13"/>
      <c r="X63" s="13"/>
      <c r="Y63" s="13"/>
      <c r="Z63" s="13"/>
      <c r="AA63" s="13"/>
      <c r="AB63" s="87"/>
      <c r="AC63" s="13"/>
      <c r="AD63" s="13"/>
      <c r="AE63" s="13"/>
      <c r="AF63" s="138"/>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x14ac:dyDescent="0.25">
      <c r="A64" s="13"/>
      <c r="B64" s="13"/>
      <c r="C64" s="13"/>
      <c r="D64" s="13"/>
      <c r="E64" s="13"/>
      <c r="F64" s="13"/>
      <c r="G64" s="13"/>
      <c r="H64" s="148"/>
      <c r="I64" s="86"/>
      <c r="J64" s="13"/>
      <c r="K64" s="13"/>
      <c r="L64" s="13"/>
      <c r="M64" s="13"/>
      <c r="N64" s="13"/>
      <c r="O64" s="13"/>
      <c r="P64" s="13"/>
      <c r="Q64" s="13"/>
      <c r="R64" s="13"/>
      <c r="S64" s="13"/>
      <c r="T64" s="13"/>
      <c r="U64" s="13"/>
      <c r="V64" s="13"/>
      <c r="W64" s="13"/>
      <c r="X64" s="13"/>
      <c r="Y64" s="13"/>
      <c r="Z64" s="13"/>
      <c r="AA64" s="13"/>
      <c r="AB64" s="87"/>
      <c r="AC64" s="13"/>
      <c r="AD64" s="13"/>
      <c r="AE64" s="13"/>
      <c r="AF64" s="138"/>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row>
    <row r="65" spans="1:75" x14ac:dyDescent="0.25">
      <c r="A65" s="13"/>
      <c r="B65" s="13"/>
      <c r="C65" s="13"/>
      <c r="D65" s="13"/>
      <c r="E65" s="13"/>
      <c r="F65" s="13"/>
      <c r="G65" s="13"/>
      <c r="H65" s="148"/>
      <c r="I65" s="86"/>
      <c r="J65" s="13"/>
      <c r="K65" s="13"/>
      <c r="L65" s="13"/>
      <c r="M65" s="13"/>
      <c r="N65" s="13"/>
      <c r="O65" s="13"/>
      <c r="P65" s="13"/>
      <c r="Q65" s="13"/>
      <c r="R65" s="13"/>
      <c r="S65" s="13"/>
      <c r="T65" s="13"/>
      <c r="U65" s="13"/>
      <c r="V65" s="13"/>
      <c r="W65" s="13"/>
      <c r="X65" s="13"/>
      <c r="Y65" s="13"/>
      <c r="Z65" s="13"/>
      <c r="AA65" s="13"/>
      <c r="AB65" s="87"/>
      <c r="AC65" s="13"/>
      <c r="AD65" s="13"/>
      <c r="AE65" s="13"/>
      <c r="AF65" s="138"/>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row>
    <row r="66" spans="1:75" x14ac:dyDescent="0.25">
      <c r="A66" s="13"/>
      <c r="B66" s="13"/>
      <c r="C66" s="13"/>
      <c r="D66" s="13"/>
      <c r="E66" s="13"/>
      <c r="F66" s="13"/>
      <c r="G66" s="13"/>
      <c r="H66" s="148"/>
      <c r="I66" s="86"/>
      <c r="J66" s="13"/>
      <c r="K66" s="13"/>
      <c r="L66" s="13"/>
      <c r="M66" s="13"/>
      <c r="N66" s="13"/>
      <c r="O66" s="13"/>
      <c r="P66" s="13"/>
      <c r="Q66" s="13"/>
      <c r="R66" s="13"/>
      <c r="S66" s="13"/>
      <c r="T66" s="13"/>
      <c r="U66" s="13"/>
      <c r="V66" s="13"/>
      <c r="W66" s="13"/>
      <c r="X66" s="13"/>
      <c r="Y66" s="13"/>
      <c r="Z66" s="13"/>
      <c r="AA66" s="13"/>
      <c r="AB66" s="87"/>
      <c r="AC66" s="13"/>
      <c r="AD66" s="13"/>
      <c r="AE66" s="13"/>
      <c r="AF66" s="138"/>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row>
    <row r="67" spans="1:75" x14ac:dyDescent="0.25">
      <c r="A67" s="13"/>
      <c r="B67" s="13"/>
      <c r="C67" s="13"/>
      <c r="D67" s="13"/>
      <c r="E67" s="13"/>
      <c r="F67" s="13"/>
      <c r="G67" s="13"/>
      <c r="H67" s="148"/>
      <c r="I67" s="86"/>
      <c r="J67" s="13"/>
      <c r="K67" s="13"/>
      <c r="L67" s="13"/>
      <c r="M67" s="13"/>
      <c r="N67" s="13"/>
      <c r="O67" s="13"/>
      <c r="P67" s="13"/>
      <c r="Q67" s="13"/>
      <c r="R67" s="13"/>
      <c r="S67" s="13"/>
      <c r="T67" s="13"/>
      <c r="U67" s="13"/>
      <c r="V67" s="13"/>
      <c r="W67" s="13"/>
      <c r="X67" s="13"/>
      <c r="Y67" s="13"/>
      <c r="Z67" s="13"/>
      <c r="AA67" s="13"/>
      <c r="AB67" s="87"/>
      <c r="AC67" s="13"/>
      <c r="AD67" s="13"/>
      <c r="AE67" s="13"/>
      <c r="AF67" s="138"/>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row>
    <row r="68" spans="1:75" x14ac:dyDescent="0.25">
      <c r="A68" s="13"/>
      <c r="B68" s="13"/>
      <c r="C68" s="13"/>
      <c r="D68" s="13"/>
      <c r="E68" s="13"/>
      <c r="F68" s="13"/>
      <c r="G68" s="13"/>
      <c r="H68" s="148"/>
      <c r="I68" s="86"/>
      <c r="J68" s="13"/>
      <c r="K68" s="13"/>
      <c r="L68" s="13"/>
      <c r="M68" s="13"/>
      <c r="N68" s="13"/>
      <c r="O68" s="13"/>
      <c r="P68" s="13"/>
      <c r="Q68" s="13"/>
      <c r="R68" s="13"/>
      <c r="S68" s="13"/>
      <c r="T68" s="13"/>
      <c r="U68" s="13"/>
      <c r="V68" s="13"/>
      <c r="W68" s="13"/>
      <c r="X68" s="13"/>
      <c r="Y68" s="13"/>
      <c r="Z68" s="13"/>
      <c r="AA68" s="13"/>
      <c r="AB68" s="87"/>
      <c r="AC68" s="13"/>
      <c r="AD68" s="13"/>
      <c r="AE68" s="13"/>
      <c r="AF68" s="138"/>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row>
    <row r="69" spans="1:75" x14ac:dyDescent="0.25">
      <c r="A69" s="13"/>
      <c r="B69" s="13"/>
      <c r="C69" s="13"/>
      <c r="D69" s="13"/>
      <c r="E69" s="13"/>
      <c r="F69" s="13"/>
      <c r="G69" s="13"/>
      <c r="H69" s="148"/>
      <c r="I69" s="86"/>
      <c r="J69" s="13"/>
      <c r="K69" s="13"/>
      <c r="L69" s="13"/>
      <c r="M69" s="13"/>
      <c r="N69" s="13"/>
      <c r="O69" s="13"/>
      <c r="P69" s="13"/>
      <c r="Q69" s="13"/>
      <c r="R69" s="13"/>
      <c r="S69" s="13"/>
      <c r="T69" s="13"/>
      <c r="U69" s="13"/>
      <c r="V69" s="13"/>
      <c r="W69" s="13"/>
      <c r="X69" s="13"/>
      <c r="Y69" s="13"/>
      <c r="Z69" s="13"/>
      <c r="AA69" s="13"/>
      <c r="AB69" s="87"/>
      <c r="AC69" s="13"/>
      <c r="AD69" s="13"/>
      <c r="AE69" s="13"/>
      <c r="AF69" s="138"/>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row>
    <row r="70" spans="1:75" x14ac:dyDescent="0.25">
      <c r="A70" s="13"/>
      <c r="B70" s="13"/>
      <c r="C70" s="13"/>
      <c r="D70" s="13"/>
      <c r="E70" s="13"/>
      <c r="F70" s="13"/>
      <c r="G70" s="13"/>
      <c r="H70" s="148"/>
      <c r="I70" s="86"/>
      <c r="J70" s="13"/>
      <c r="K70" s="13"/>
      <c r="L70" s="13"/>
      <c r="M70" s="13"/>
      <c r="N70" s="13"/>
      <c r="O70" s="13"/>
      <c r="P70" s="13"/>
      <c r="Q70" s="13"/>
      <c r="R70" s="13"/>
      <c r="S70" s="13"/>
      <c r="T70" s="13"/>
      <c r="U70" s="13"/>
      <c r="V70" s="13"/>
      <c r="W70" s="13"/>
      <c r="X70" s="13"/>
      <c r="Y70" s="13"/>
      <c r="Z70" s="13"/>
      <c r="AA70" s="13"/>
      <c r="AB70" s="87"/>
      <c r="AC70" s="13"/>
      <c r="AD70" s="13"/>
      <c r="AE70" s="13"/>
      <c r="AF70" s="138"/>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row>
    <row r="71" spans="1:75" x14ac:dyDescent="0.25">
      <c r="A71" s="13"/>
      <c r="B71" s="13"/>
      <c r="C71" s="13"/>
      <c r="D71" s="13"/>
      <c r="E71" s="13"/>
      <c r="F71" s="13"/>
      <c r="G71" s="13"/>
      <c r="H71" s="148"/>
      <c r="I71" s="86"/>
      <c r="J71" s="13"/>
      <c r="K71" s="13"/>
      <c r="L71" s="13"/>
      <c r="M71" s="13"/>
      <c r="N71" s="13"/>
      <c r="O71" s="13"/>
      <c r="P71" s="13"/>
      <c r="Q71" s="13"/>
      <c r="R71" s="13"/>
      <c r="S71" s="13"/>
      <c r="T71" s="13"/>
      <c r="U71" s="13"/>
      <c r="V71" s="13"/>
      <c r="W71" s="13"/>
      <c r="X71" s="13"/>
      <c r="Y71" s="13"/>
      <c r="Z71" s="13"/>
      <c r="AA71" s="13"/>
      <c r="AB71" s="87"/>
      <c r="AC71" s="13"/>
      <c r="AD71" s="13"/>
      <c r="AE71" s="13"/>
      <c r="AF71" s="138"/>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row>
    <row r="72" spans="1:75" x14ac:dyDescent="0.25">
      <c r="A72" s="13"/>
      <c r="B72" s="13"/>
      <c r="C72" s="13"/>
      <c r="D72" s="13"/>
      <c r="E72" s="13"/>
      <c r="F72" s="13"/>
      <c r="G72" s="13"/>
      <c r="H72" s="148"/>
      <c r="I72" s="86"/>
      <c r="J72" s="13"/>
      <c r="K72" s="13"/>
      <c r="L72" s="13"/>
      <c r="M72" s="13"/>
      <c r="N72" s="13"/>
      <c r="O72" s="13"/>
      <c r="P72" s="13"/>
      <c r="Q72" s="13"/>
      <c r="R72" s="13"/>
      <c r="S72" s="13"/>
      <c r="T72" s="13"/>
      <c r="U72" s="13"/>
      <c r="V72" s="13"/>
      <c r="W72" s="13"/>
      <c r="X72" s="13"/>
      <c r="Y72" s="13"/>
      <c r="Z72" s="13"/>
      <c r="AA72" s="13"/>
      <c r="AB72" s="87"/>
      <c r="AC72" s="13"/>
      <c r="AD72" s="13"/>
      <c r="AE72" s="13"/>
      <c r="AF72" s="138"/>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row>
    <row r="73" spans="1:75" x14ac:dyDescent="0.25">
      <c r="A73" s="13"/>
      <c r="B73" s="13"/>
      <c r="C73" s="13"/>
      <c r="D73" s="13"/>
      <c r="E73" s="13"/>
      <c r="F73" s="13"/>
      <c r="G73" s="13"/>
      <c r="H73" s="148"/>
      <c r="I73" s="86"/>
      <c r="J73" s="13"/>
      <c r="K73" s="13"/>
      <c r="L73" s="13"/>
      <c r="M73" s="13"/>
      <c r="N73" s="13"/>
      <c r="O73" s="13"/>
      <c r="P73" s="13"/>
      <c r="Q73" s="13"/>
      <c r="R73" s="13"/>
      <c r="S73" s="13"/>
      <c r="T73" s="13"/>
      <c r="U73" s="13"/>
      <c r="V73" s="13"/>
      <c r="W73" s="13"/>
      <c r="X73" s="13"/>
      <c r="Y73" s="13"/>
      <c r="Z73" s="13"/>
      <c r="AA73" s="13"/>
      <c r="AB73" s="87"/>
      <c r="AC73" s="13"/>
      <c r="AD73" s="13"/>
      <c r="AE73" s="13"/>
      <c r="AF73" s="138"/>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row>
    <row r="74" spans="1:75" x14ac:dyDescent="0.25">
      <c r="A74" s="13"/>
      <c r="B74" s="13"/>
      <c r="C74" s="13"/>
      <c r="D74" s="13"/>
      <c r="E74" s="13"/>
      <c r="F74" s="13"/>
      <c r="G74" s="13"/>
      <c r="H74" s="148"/>
      <c r="I74" s="86"/>
      <c r="J74" s="13"/>
      <c r="K74" s="13"/>
      <c r="L74" s="13"/>
      <c r="M74" s="13"/>
      <c r="N74" s="13"/>
      <c r="O74" s="13"/>
      <c r="P74" s="13"/>
      <c r="Q74" s="13"/>
      <c r="R74" s="13"/>
      <c r="S74" s="13"/>
      <c r="T74" s="13"/>
      <c r="U74" s="13"/>
      <c r="V74" s="13"/>
      <c r="W74" s="13"/>
      <c r="X74" s="13"/>
      <c r="Y74" s="13"/>
      <c r="Z74" s="13"/>
      <c r="AA74" s="13"/>
      <c r="AB74" s="87"/>
      <c r="AC74" s="13"/>
      <c r="AD74" s="13"/>
      <c r="AE74" s="13"/>
      <c r="AF74" s="138"/>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row>
    <row r="75" spans="1:75" x14ac:dyDescent="0.25">
      <c r="A75" s="13"/>
      <c r="B75" s="13"/>
      <c r="C75" s="13"/>
      <c r="D75" s="13"/>
      <c r="E75" s="13"/>
      <c r="F75" s="13"/>
      <c r="G75" s="13"/>
      <c r="H75" s="148"/>
      <c r="I75" s="86"/>
      <c r="J75" s="13"/>
      <c r="K75" s="13"/>
      <c r="L75" s="13"/>
      <c r="M75" s="13"/>
      <c r="N75" s="13"/>
      <c r="O75" s="13"/>
      <c r="P75" s="13"/>
      <c r="Q75" s="13"/>
      <c r="R75" s="13"/>
      <c r="S75" s="13"/>
      <c r="T75" s="13"/>
      <c r="U75" s="13"/>
      <c r="V75" s="13"/>
      <c r="W75" s="13"/>
      <c r="X75" s="13"/>
      <c r="Y75" s="13"/>
      <c r="Z75" s="13"/>
      <c r="AA75" s="13"/>
      <c r="AB75" s="87"/>
      <c r="AC75" s="13"/>
      <c r="AD75" s="13"/>
      <c r="AE75" s="13"/>
      <c r="AF75" s="138"/>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row>
    <row r="76" spans="1:75" x14ac:dyDescent="0.25">
      <c r="A76" s="13"/>
      <c r="B76" s="13"/>
      <c r="C76" s="13"/>
      <c r="D76" s="13"/>
      <c r="E76" s="13"/>
      <c r="F76" s="13"/>
      <c r="G76" s="13"/>
      <c r="H76" s="148"/>
      <c r="I76" s="86"/>
      <c r="J76" s="13"/>
      <c r="K76" s="13"/>
      <c r="L76" s="13"/>
      <c r="M76" s="13"/>
      <c r="N76" s="13"/>
      <c r="O76" s="13"/>
      <c r="P76" s="13"/>
      <c r="Q76" s="13"/>
      <c r="R76" s="13"/>
      <c r="S76" s="13"/>
      <c r="T76" s="13"/>
      <c r="U76" s="13"/>
      <c r="V76" s="13"/>
      <c r="W76" s="13"/>
      <c r="X76" s="13"/>
      <c r="Y76" s="13"/>
      <c r="Z76" s="13"/>
      <c r="AA76" s="13"/>
      <c r="AB76" s="87"/>
      <c r="AC76" s="13"/>
      <c r="AD76" s="13"/>
      <c r="AE76" s="13"/>
      <c r="AF76" s="138"/>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row>
    <row r="77" spans="1:75" x14ac:dyDescent="0.25">
      <c r="A77" s="13"/>
      <c r="B77" s="13"/>
      <c r="C77" s="13"/>
      <c r="D77" s="13"/>
      <c r="E77" s="13"/>
      <c r="F77" s="13"/>
      <c r="G77" s="13"/>
      <c r="H77" s="148"/>
      <c r="I77" s="86"/>
      <c r="J77" s="13"/>
      <c r="K77" s="13"/>
      <c r="L77" s="13"/>
      <c r="M77" s="13"/>
      <c r="N77" s="13"/>
      <c r="O77" s="13"/>
      <c r="P77" s="13"/>
      <c r="Q77" s="13"/>
      <c r="R77" s="13"/>
      <c r="S77" s="13"/>
      <c r="T77" s="13"/>
      <c r="U77" s="13"/>
      <c r="V77" s="13"/>
      <c r="W77" s="13"/>
      <c r="X77" s="13"/>
      <c r="Y77" s="13"/>
      <c r="Z77" s="13"/>
      <c r="AA77" s="13"/>
      <c r="AB77" s="87"/>
      <c r="AC77" s="13"/>
      <c r="AD77" s="13"/>
      <c r="AE77" s="13"/>
      <c r="AF77" s="138"/>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row>
    <row r="78" spans="1:75" x14ac:dyDescent="0.25">
      <c r="A78" s="13"/>
      <c r="B78" s="13"/>
      <c r="C78" s="13"/>
      <c r="D78" s="13"/>
      <c r="E78" s="13"/>
      <c r="F78" s="13"/>
      <c r="G78" s="13"/>
      <c r="H78" s="148"/>
      <c r="I78" s="86"/>
      <c r="J78" s="13"/>
      <c r="K78" s="13"/>
      <c r="L78" s="13"/>
      <c r="M78" s="13"/>
      <c r="N78" s="13"/>
      <c r="O78" s="13"/>
      <c r="P78" s="13"/>
      <c r="Q78" s="13"/>
      <c r="R78" s="13"/>
      <c r="S78" s="13"/>
      <c r="T78" s="13"/>
      <c r="U78" s="13"/>
      <c r="V78" s="13"/>
      <c r="W78" s="13"/>
      <c r="X78" s="13"/>
      <c r="Y78" s="13"/>
      <c r="Z78" s="13"/>
      <c r="AA78" s="13"/>
      <c r="AB78" s="87"/>
      <c r="AC78" s="13"/>
      <c r="AD78" s="13"/>
      <c r="AE78" s="13"/>
      <c r="AF78" s="138"/>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row>
    <row r="79" spans="1:75" x14ac:dyDescent="0.25">
      <c r="A79" s="13"/>
      <c r="B79" s="13"/>
      <c r="C79" s="13"/>
      <c r="D79" s="13"/>
      <c r="E79" s="13"/>
      <c r="F79" s="13"/>
      <c r="G79" s="13"/>
      <c r="H79" s="148"/>
      <c r="I79" s="86"/>
      <c r="J79" s="13"/>
      <c r="K79" s="13"/>
      <c r="L79" s="13"/>
      <c r="M79" s="13"/>
      <c r="N79" s="13"/>
      <c r="O79" s="13"/>
      <c r="P79" s="13"/>
      <c r="Q79" s="13"/>
      <c r="R79" s="13"/>
      <c r="S79" s="13"/>
      <c r="T79" s="13"/>
      <c r="U79" s="13"/>
      <c r="V79" s="13"/>
      <c r="W79" s="13"/>
      <c r="X79" s="13"/>
      <c r="Y79" s="13"/>
      <c r="Z79" s="13"/>
      <c r="AA79" s="13"/>
      <c r="AB79" s="87"/>
      <c r="AC79" s="13"/>
      <c r="AD79" s="13"/>
      <c r="AE79" s="13"/>
      <c r="AF79" s="138"/>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row>
    <row r="80" spans="1:75" x14ac:dyDescent="0.25">
      <c r="A80" s="13"/>
      <c r="B80" s="13"/>
      <c r="C80" s="13"/>
      <c r="D80" s="13"/>
      <c r="E80" s="13"/>
      <c r="F80" s="13"/>
      <c r="G80" s="13"/>
      <c r="H80" s="148"/>
      <c r="I80" s="86"/>
      <c r="J80" s="13"/>
      <c r="K80" s="13"/>
      <c r="L80" s="13"/>
      <c r="M80" s="13"/>
      <c r="N80" s="13"/>
      <c r="O80" s="13"/>
      <c r="P80" s="13"/>
      <c r="Q80" s="13"/>
      <c r="R80" s="13"/>
      <c r="S80" s="13"/>
      <c r="T80" s="13"/>
      <c r="U80" s="13"/>
      <c r="V80" s="13"/>
      <c r="W80" s="13"/>
      <c r="X80" s="13"/>
      <c r="Y80" s="13"/>
      <c r="Z80" s="13"/>
      <c r="AA80" s="13"/>
      <c r="AB80" s="87"/>
      <c r="AC80" s="13"/>
      <c r="AD80" s="13"/>
      <c r="AE80" s="13"/>
      <c r="AF80" s="138"/>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row>
    <row r="81" spans="1:75" x14ac:dyDescent="0.25">
      <c r="A81" s="13"/>
      <c r="B81" s="13"/>
      <c r="C81" s="13"/>
      <c r="D81" s="13"/>
      <c r="E81" s="13"/>
      <c r="F81" s="13"/>
      <c r="G81" s="13"/>
      <c r="H81" s="148"/>
      <c r="I81" s="86"/>
      <c r="J81" s="13"/>
      <c r="K81" s="13"/>
      <c r="L81" s="13"/>
      <c r="M81" s="13"/>
      <c r="N81" s="13"/>
      <c r="O81" s="13"/>
      <c r="P81" s="13"/>
      <c r="Q81" s="13"/>
      <c r="R81" s="13"/>
      <c r="S81" s="13"/>
      <c r="T81" s="13"/>
      <c r="U81" s="13"/>
      <c r="V81" s="13"/>
      <c r="W81" s="13"/>
      <c r="X81" s="13"/>
      <c r="Y81" s="13"/>
      <c r="Z81" s="13"/>
      <c r="AA81" s="13"/>
      <c r="AB81" s="87"/>
      <c r="AC81" s="13"/>
      <c r="AD81" s="13"/>
      <c r="AE81" s="13"/>
      <c r="AF81" s="138"/>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row>
    <row r="82" spans="1:75" x14ac:dyDescent="0.25">
      <c r="A82" s="13"/>
      <c r="B82" s="13"/>
      <c r="C82" s="13"/>
      <c r="D82" s="13"/>
      <c r="E82" s="13"/>
      <c r="F82" s="13"/>
      <c r="G82" s="13"/>
      <c r="H82" s="148"/>
      <c r="I82" s="86"/>
      <c r="J82" s="13"/>
      <c r="K82" s="13"/>
      <c r="L82" s="13"/>
      <c r="M82" s="13"/>
      <c r="N82" s="13"/>
      <c r="O82" s="13"/>
      <c r="P82" s="13"/>
      <c r="Q82" s="13"/>
      <c r="R82" s="13"/>
      <c r="S82" s="13"/>
      <c r="T82" s="13"/>
      <c r="U82" s="13"/>
      <c r="V82" s="13"/>
      <c r="W82" s="13"/>
      <c r="X82" s="13"/>
      <c r="Y82" s="13"/>
      <c r="Z82" s="13"/>
      <c r="AA82" s="13"/>
      <c r="AB82" s="87"/>
      <c r="AC82" s="13"/>
      <c r="AD82" s="13"/>
      <c r="AE82" s="13"/>
      <c r="AF82" s="138"/>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row>
    <row r="83" spans="1:75" x14ac:dyDescent="0.25">
      <c r="A83" s="13"/>
      <c r="B83" s="13"/>
      <c r="C83" s="13"/>
      <c r="D83" s="13"/>
      <c r="E83" s="13"/>
      <c r="F83" s="13"/>
      <c r="G83" s="13"/>
      <c r="H83" s="148"/>
      <c r="I83" s="86"/>
      <c r="J83" s="13"/>
      <c r="K83" s="13"/>
      <c r="L83" s="13"/>
      <c r="M83" s="13"/>
      <c r="N83" s="13"/>
      <c r="O83" s="13"/>
      <c r="P83" s="13"/>
      <c r="Q83" s="13"/>
      <c r="R83" s="13"/>
      <c r="S83" s="13"/>
      <c r="T83" s="13"/>
      <c r="U83" s="13"/>
      <c r="V83" s="13"/>
      <c r="W83" s="13"/>
      <c r="X83" s="13"/>
      <c r="Y83" s="13"/>
      <c r="Z83" s="13"/>
      <c r="AA83" s="13"/>
      <c r="AB83" s="87"/>
      <c r="AC83" s="13"/>
      <c r="AD83" s="13"/>
      <c r="AE83" s="13"/>
      <c r="AF83" s="138"/>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row>
    <row r="84" spans="1:75" x14ac:dyDescent="0.25">
      <c r="A84" s="13"/>
      <c r="B84" s="13"/>
      <c r="C84" s="13"/>
      <c r="D84" s="13"/>
      <c r="E84" s="13"/>
      <c r="F84" s="13"/>
      <c r="G84" s="13"/>
      <c r="H84" s="148"/>
      <c r="I84" s="86"/>
      <c r="J84" s="13"/>
      <c r="K84" s="13"/>
      <c r="L84" s="13"/>
      <c r="M84" s="13"/>
      <c r="N84" s="13"/>
      <c r="O84" s="13"/>
      <c r="P84" s="13"/>
      <c r="Q84" s="13"/>
      <c r="R84" s="13"/>
      <c r="S84" s="13"/>
      <c r="T84" s="13"/>
      <c r="U84" s="13"/>
      <c r="V84" s="13"/>
      <c r="W84" s="13"/>
      <c r="X84" s="13"/>
      <c r="Y84" s="13"/>
      <c r="Z84" s="13"/>
      <c r="AA84" s="13"/>
      <c r="AB84" s="87"/>
      <c r="AC84" s="13"/>
      <c r="AD84" s="13"/>
      <c r="AE84" s="13"/>
      <c r="AF84" s="138"/>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row>
    <row r="85" spans="1:75" x14ac:dyDescent="0.25">
      <c r="A85" s="13"/>
      <c r="B85" s="13"/>
      <c r="C85" s="13"/>
      <c r="D85" s="13"/>
      <c r="E85" s="13"/>
      <c r="F85" s="13"/>
      <c r="G85" s="13"/>
      <c r="H85" s="148"/>
      <c r="I85" s="86"/>
      <c r="J85" s="13"/>
      <c r="K85" s="13"/>
      <c r="L85" s="13"/>
      <c r="M85" s="13"/>
      <c r="N85" s="13"/>
      <c r="O85" s="13"/>
      <c r="P85" s="13"/>
      <c r="Q85" s="13"/>
      <c r="R85" s="13"/>
      <c r="S85" s="13"/>
      <c r="T85" s="13"/>
      <c r="U85" s="13"/>
      <c r="V85" s="13"/>
      <c r="W85" s="13"/>
      <c r="X85" s="13"/>
      <c r="Y85" s="13"/>
      <c r="Z85" s="13"/>
      <c r="AA85" s="13"/>
      <c r="AB85" s="87"/>
      <c r="AC85" s="13"/>
      <c r="AD85" s="13"/>
      <c r="AE85" s="13"/>
      <c r="AF85" s="138"/>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row>
    <row r="86" spans="1:75" x14ac:dyDescent="0.25">
      <c r="A86" s="13"/>
      <c r="B86" s="13"/>
      <c r="C86" s="13"/>
      <c r="D86" s="13"/>
      <c r="E86" s="13"/>
      <c r="F86" s="13"/>
      <c r="G86" s="13"/>
      <c r="H86" s="148"/>
      <c r="I86" s="86"/>
      <c r="J86" s="13"/>
      <c r="K86" s="13"/>
      <c r="L86" s="13"/>
      <c r="M86" s="13"/>
      <c r="N86" s="13"/>
      <c r="O86" s="13"/>
      <c r="P86" s="13"/>
      <c r="Q86" s="13"/>
      <c r="R86" s="13"/>
      <c r="S86" s="13"/>
      <c r="T86" s="13"/>
      <c r="U86" s="13"/>
      <c r="V86" s="13"/>
      <c r="W86" s="13"/>
      <c r="X86" s="13"/>
      <c r="Y86" s="13"/>
      <c r="Z86" s="13"/>
      <c r="AA86" s="13"/>
      <c r="AB86" s="87"/>
      <c r="AC86" s="13"/>
      <c r="AD86" s="13"/>
      <c r="AE86" s="13"/>
      <c r="AF86" s="138"/>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row>
    <row r="87" spans="1:75" x14ac:dyDescent="0.25">
      <c r="A87" s="13"/>
      <c r="B87" s="13"/>
      <c r="C87" s="13"/>
      <c r="D87" s="13"/>
      <c r="E87" s="13"/>
      <c r="F87" s="13"/>
      <c r="G87" s="13"/>
      <c r="H87" s="148"/>
      <c r="I87" s="86"/>
      <c r="J87" s="13"/>
      <c r="K87" s="13"/>
      <c r="L87" s="13"/>
      <c r="M87" s="13"/>
      <c r="N87" s="13"/>
      <c r="O87" s="13"/>
      <c r="P87" s="13"/>
      <c r="Q87" s="13"/>
      <c r="R87" s="13"/>
      <c r="S87" s="13"/>
      <c r="T87" s="13"/>
      <c r="U87" s="13"/>
      <c r="V87" s="13"/>
      <c r="W87" s="13"/>
      <c r="X87" s="13"/>
      <c r="Y87" s="13"/>
      <c r="Z87" s="13"/>
      <c r="AA87" s="13"/>
      <c r="AB87" s="87"/>
      <c r="AC87" s="13"/>
      <c r="AD87" s="13"/>
      <c r="AE87" s="13"/>
      <c r="AF87" s="138"/>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row>
    <row r="88" spans="1:75" x14ac:dyDescent="0.25">
      <c r="A88" s="13"/>
      <c r="B88" s="13"/>
      <c r="C88" s="13"/>
      <c r="D88" s="13"/>
      <c r="E88" s="13"/>
      <c r="F88" s="13"/>
      <c r="G88" s="13"/>
      <c r="H88" s="148"/>
      <c r="I88" s="86"/>
      <c r="J88" s="13"/>
      <c r="K88" s="13"/>
      <c r="L88" s="13"/>
      <c r="M88" s="13"/>
      <c r="N88" s="13"/>
      <c r="O88" s="13"/>
      <c r="P88" s="13"/>
      <c r="Q88" s="13"/>
      <c r="R88" s="13"/>
      <c r="S88" s="13"/>
      <c r="T88" s="13"/>
      <c r="U88" s="13"/>
      <c r="V88" s="13"/>
      <c r="W88" s="13"/>
      <c r="X88" s="13"/>
      <c r="Y88" s="13"/>
      <c r="Z88" s="13"/>
      <c r="AA88" s="13"/>
      <c r="AB88" s="87"/>
      <c r="AC88" s="13"/>
      <c r="AD88" s="13"/>
      <c r="AE88" s="13"/>
      <c r="AF88" s="138"/>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row>
    <row r="89" spans="1:75" x14ac:dyDescent="0.25">
      <c r="A89" s="13"/>
      <c r="B89" s="13"/>
      <c r="C89" s="13"/>
      <c r="D89" s="13"/>
      <c r="E89" s="13"/>
      <c r="F89" s="13"/>
      <c r="G89" s="13"/>
      <c r="H89" s="148"/>
      <c r="I89" s="86"/>
      <c r="J89" s="13"/>
      <c r="K89" s="13"/>
      <c r="L89" s="13"/>
      <c r="M89" s="13"/>
      <c r="N89" s="13"/>
      <c r="O89" s="13"/>
      <c r="P89" s="13"/>
      <c r="Q89" s="13"/>
      <c r="R89" s="13"/>
      <c r="S89" s="13"/>
      <c r="T89" s="13"/>
      <c r="U89" s="13"/>
      <c r="V89" s="13"/>
      <c r="W89" s="13"/>
      <c r="X89" s="13"/>
      <c r="Y89" s="13"/>
      <c r="Z89" s="13"/>
      <c r="AA89" s="13"/>
      <c r="AB89" s="87"/>
      <c r="AC89" s="13"/>
      <c r="AD89" s="13"/>
      <c r="AE89" s="13"/>
      <c r="AF89" s="138"/>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row>
    <row r="90" spans="1:75" x14ac:dyDescent="0.25">
      <c r="A90" s="13"/>
      <c r="B90" s="13"/>
      <c r="C90" s="13"/>
      <c r="D90" s="13"/>
      <c r="E90" s="13"/>
      <c r="F90" s="13"/>
      <c r="G90" s="13"/>
      <c r="H90" s="148"/>
      <c r="I90" s="86"/>
      <c r="J90" s="13"/>
      <c r="K90" s="13"/>
      <c r="L90" s="13"/>
      <c r="M90" s="13"/>
      <c r="N90" s="13"/>
      <c r="O90" s="13"/>
      <c r="P90" s="13"/>
      <c r="Q90" s="13"/>
      <c r="R90" s="13"/>
      <c r="S90" s="13"/>
      <c r="T90" s="13"/>
      <c r="U90" s="13"/>
      <c r="V90" s="13"/>
      <c r="W90" s="13"/>
      <c r="X90" s="13"/>
      <c r="Y90" s="13"/>
      <c r="Z90" s="13"/>
      <c r="AA90" s="13"/>
      <c r="AB90" s="87"/>
      <c r="AC90" s="13"/>
      <c r="AD90" s="13"/>
      <c r="AE90" s="13"/>
      <c r="AF90" s="138"/>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row>
    <row r="91" spans="1:75" x14ac:dyDescent="0.25">
      <c r="A91" s="13"/>
      <c r="B91" s="13"/>
      <c r="C91" s="13"/>
      <c r="D91" s="13"/>
      <c r="E91" s="13"/>
      <c r="F91" s="13"/>
      <c r="G91" s="13"/>
      <c r="H91" s="148"/>
      <c r="I91" s="86"/>
      <c r="J91" s="13"/>
      <c r="K91" s="13"/>
      <c r="L91" s="13"/>
      <c r="M91" s="13"/>
      <c r="N91" s="13"/>
      <c r="O91" s="13"/>
      <c r="P91" s="13"/>
      <c r="Q91" s="13"/>
      <c r="R91" s="13"/>
      <c r="S91" s="13"/>
      <c r="T91" s="13"/>
      <c r="U91" s="13"/>
      <c r="V91" s="13"/>
      <c r="W91" s="13"/>
      <c r="X91" s="13"/>
      <c r="Y91" s="13"/>
      <c r="Z91" s="13"/>
      <c r="AA91" s="13"/>
      <c r="AB91" s="87"/>
      <c r="AC91" s="13"/>
      <c r="AD91" s="13"/>
      <c r="AE91" s="13"/>
      <c r="AF91" s="138"/>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row>
    <row r="92" spans="1:75" x14ac:dyDescent="0.25">
      <c r="A92" s="13"/>
      <c r="B92" s="13"/>
      <c r="C92" s="13"/>
      <c r="D92" s="13"/>
      <c r="E92" s="13"/>
      <c r="F92" s="13"/>
      <c r="G92" s="13"/>
      <c r="H92" s="148"/>
      <c r="I92" s="86"/>
      <c r="J92" s="13"/>
      <c r="K92" s="13"/>
      <c r="L92" s="13"/>
      <c r="M92" s="13"/>
      <c r="N92" s="13"/>
      <c r="O92" s="13"/>
      <c r="P92" s="13"/>
      <c r="Q92" s="13"/>
      <c r="R92" s="13"/>
      <c r="S92" s="13"/>
      <c r="T92" s="13"/>
      <c r="U92" s="13"/>
      <c r="V92" s="13"/>
      <c r="W92" s="13"/>
      <c r="X92" s="13"/>
      <c r="Y92" s="13"/>
      <c r="Z92" s="13"/>
      <c r="AA92" s="13"/>
      <c r="AB92" s="87"/>
      <c r="AC92" s="13"/>
      <c r="AD92" s="13"/>
      <c r="AE92" s="13"/>
      <c r="AF92" s="138"/>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row>
    <row r="93" spans="1:75" x14ac:dyDescent="0.25">
      <c r="A93" s="13"/>
      <c r="B93" s="13"/>
      <c r="C93" s="13"/>
      <c r="D93" s="13"/>
      <c r="E93" s="13"/>
      <c r="F93" s="13"/>
      <c r="G93" s="13"/>
      <c r="H93" s="148"/>
      <c r="I93" s="86"/>
      <c r="J93" s="13"/>
      <c r="K93" s="13"/>
      <c r="L93" s="13"/>
      <c r="M93" s="13"/>
      <c r="N93" s="13"/>
      <c r="O93" s="13"/>
      <c r="P93" s="13"/>
      <c r="Q93" s="13"/>
      <c r="R93" s="13"/>
      <c r="S93" s="13"/>
      <c r="T93" s="13"/>
      <c r="U93" s="13"/>
      <c r="V93" s="13"/>
      <c r="W93" s="13"/>
      <c r="X93" s="13"/>
      <c r="Y93" s="13"/>
      <c r="Z93" s="13"/>
      <c r="AA93" s="13"/>
      <c r="AB93" s="87"/>
      <c r="AC93" s="13"/>
      <c r="AD93" s="13"/>
      <c r="AE93" s="13"/>
      <c r="AF93" s="138"/>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row>
    <row r="94" spans="1:75" x14ac:dyDescent="0.25">
      <c r="A94" s="13"/>
      <c r="B94" s="13"/>
      <c r="C94" s="13"/>
      <c r="D94" s="13"/>
      <c r="E94" s="13"/>
      <c r="F94" s="13"/>
      <c r="G94" s="13"/>
      <c r="H94" s="148"/>
      <c r="I94" s="86"/>
      <c r="J94" s="13"/>
      <c r="K94" s="13"/>
      <c r="L94" s="13"/>
      <c r="M94" s="13"/>
      <c r="N94" s="13"/>
      <c r="O94" s="13"/>
      <c r="P94" s="13"/>
      <c r="Q94" s="13"/>
      <c r="R94" s="13"/>
      <c r="S94" s="13"/>
      <c r="T94" s="13"/>
      <c r="U94" s="13"/>
      <c r="V94" s="13"/>
      <c r="W94" s="13"/>
      <c r="X94" s="13"/>
      <c r="Y94" s="13"/>
      <c r="Z94" s="13"/>
      <c r="AA94" s="13"/>
      <c r="AB94" s="87"/>
      <c r="AC94" s="13"/>
      <c r="AD94" s="13"/>
      <c r="AE94" s="13"/>
      <c r="AF94" s="138"/>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row>
    <row r="95" spans="1:75" x14ac:dyDescent="0.25">
      <c r="A95" s="13"/>
      <c r="B95" s="13"/>
      <c r="C95" s="13"/>
      <c r="D95" s="13"/>
      <c r="E95" s="13"/>
      <c r="F95" s="13"/>
      <c r="G95" s="13"/>
      <c r="H95" s="148"/>
      <c r="I95" s="86"/>
      <c r="J95" s="13"/>
      <c r="K95" s="13"/>
      <c r="L95" s="13"/>
      <c r="M95" s="13"/>
      <c r="N95" s="13"/>
      <c r="O95" s="13"/>
      <c r="P95" s="13"/>
      <c r="Q95" s="13"/>
      <c r="R95" s="13"/>
      <c r="S95" s="13"/>
      <c r="T95" s="13"/>
      <c r="U95" s="13"/>
      <c r="V95" s="13"/>
      <c r="W95" s="13"/>
      <c r="X95" s="13"/>
      <c r="Y95" s="13"/>
      <c r="Z95" s="13"/>
      <c r="AA95" s="13"/>
      <c r="AB95" s="87"/>
      <c r="AC95" s="13"/>
      <c r="AD95" s="13"/>
      <c r="AE95" s="13"/>
      <c r="AF95" s="138"/>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row>
    <row r="96" spans="1:75" x14ac:dyDescent="0.25">
      <c r="A96" s="13"/>
      <c r="B96" s="13"/>
      <c r="C96" s="13"/>
      <c r="D96" s="13"/>
      <c r="E96" s="13"/>
      <c r="F96" s="13"/>
      <c r="G96" s="13"/>
      <c r="H96" s="148"/>
      <c r="I96" s="86"/>
      <c r="J96" s="13"/>
      <c r="K96" s="13"/>
      <c r="L96" s="13"/>
      <c r="M96" s="13"/>
      <c r="N96" s="13"/>
      <c r="O96" s="13"/>
      <c r="P96" s="13"/>
      <c r="Q96" s="13"/>
      <c r="R96" s="13"/>
      <c r="S96" s="13"/>
      <c r="T96" s="13"/>
      <c r="U96" s="13"/>
      <c r="V96" s="13"/>
      <c r="W96" s="13"/>
      <c r="X96" s="13"/>
      <c r="Y96" s="13"/>
      <c r="Z96" s="13"/>
      <c r="AA96" s="13"/>
      <c r="AB96" s="87"/>
      <c r="AC96" s="13"/>
      <c r="AD96" s="13"/>
      <c r="AE96" s="13"/>
      <c r="AF96" s="138"/>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row>
    <row r="97" spans="1:75" x14ac:dyDescent="0.25">
      <c r="A97" s="13"/>
      <c r="B97" s="13"/>
      <c r="C97" s="13"/>
      <c r="D97" s="13"/>
      <c r="E97" s="13"/>
      <c r="F97" s="13"/>
      <c r="G97" s="13"/>
      <c r="H97" s="148"/>
      <c r="I97" s="86"/>
      <c r="J97" s="13"/>
      <c r="K97" s="13"/>
      <c r="L97" s="13"/>
      <c r="M97" s="13"/>
      <c r="N97" s="13"/>
      <c r="O97" s="13"/>
      <c r="P97" s="13"/>
      <c r="Q97" s="13"/>
      <c r="R97" s="13"/>
      <c r="S97" s="13"/>
      <c r="T97" s="13"/>
      <c r="U97" s="13"/>
      <c r="V97" s="13"/>
      <c r="W97" s="13"/>
      <c r="X97" s="13"/>
      <c r="Y97" s="13"/>
      <c r="Z97" s="13"/>
      <c r="AA97" s="13"/>
      <c r="AB97" s="87"/>
      <c r="AC97" s="13"/>
      <c r="AD97" s="13"/>
      <c r="AE97" s="13"/>
      <c r="AF97" s="138"/>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row>
    <row r="98" spans="1:75" x14ac:dyDescent="0.25">
      <c r="A98" s="13"/>
      <c r="B98" s="13"/>
      <c r="C98" s="13"/>
      <c r="D98" s="13"/>
      <c r="E98" s="13"/>
      <c r="F98" s="13"/>
      <c r="G98" s="13"/>
      <c r="H98" s="148"/>
      <c r="I98" s="86"/>
      <c r="J98" s="13"/>
      <c r="K98" s="13"/>
      <c r="L98" s="13"/>
      <c r="M98" s="13"/>
      <c r="N98" s="13"/>
      <c r="O98" s="13"/>
      <c r="P98" s="13"/>
      <c r="Q98" s="13"/>
      <c r="R98" s="13"/>
      <c r="S98" s="13"/>
      <c r="T98" s="13"/>
      <c r="U98" s="13"/>
      <c r="V98" s="13"/>
      <c r="W98" s="13"/>
      <c r="X98" s="13"/>
      <c r="Y98" s="13"/>
      <c r="Z98" s="13"/>
      <c r="AA98" s="13"/>
      <c r="AB98" s="87"/>
      <c r="AC98" s="13"/>
      <c r="AD98" s="13"/>
      <c r="AE98" s="13"/>
      <c r="AF98" s="138"/>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row>
    <row r="99" spans="1:75" x14ac:dyDescent="0.25">
      <c r="A99" s="13"/>
      <c r="B99" s="13"/>
      <c r="C99" s="13"/>
      <c r="D99" s="13"/>
      <c r="E99" s="13"/>
      <c r="F99" s="13"/>
      <c r="G99" s="13"/>
      <c r="H99" s="148"/>
      <c r="I99" s="86"/>
      <c r="J99" s="13"/>
      <c r="K99" s="13"/>
      <c r="L99" s="13"/>
      <c r="M99" s="13"/>
      <c r="N99" s="13"/>
      <c r="O99" s="13"/>
      <c r="P99" s="13"/>
      <c r="Q99" s="13"/>
      <c r="R99" s="13"/>
      <c r="S99" s="13"/>
      <c r="T99" s="13"/>
      <c r="U99" s="13"/>
      <c r="V99" s="13"/>
      <c r="W99" s="13"/>
      <c r="X99" s="13"/>
      <c r="Y99" s="13"/>
      <c r="Z99" s="13"/>
      <c r="AA99" s="13"/>
      <c r="AB99" s="87"/>
      <c r="AC99" s="13"/>
      <c r="AD99" s="13"/>
      <c r="AE99" s="13"/>
      <c r="AF99" s="138"/>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row>
    <row r="100" spans="1:75" x14ac:dyDescent="0.25">
      <c r="A100" s="13"/>
      <c r="B100" s="13"/>
      <c r="C100" s="13"/>
      <c r="D100" s="13"/>
      <c r="E100" s="13"/>
      <c r="F100" s="13"/>
      <c r="G100" s="13"/>
      <c r="H100" s="148"/>
      <c r="I100" s="86"/>
      <c r="J100" s="13"/>
      <c r="K100" s="13"/>
      <c r="L100" s="13"/>
      <c r="M100" s="13"/>
      <c r="N100" s="13"/>
      <c r="O100" s="13"/>
      <c r="P100" s="13"/>
      <c r="Q100" s="13"/>
      <c r="R100" s="13"/>
      <c r="S100" s="13"/>
      <c r="T100" s="13"/>
      <c r="U100" s="13"/>
      <c r="V100" s="13"/>
      <c r="W100" s="13"/>
      <c r="X100" s="13"/>
      <c r="Y100" s="13"/>
      <c r="Z100" s="13"/>
      <c r="AA100" s="13"/>
      <c r="AB100" s="87"/>
      <c r="AC100" s="13"/>
      <c r="AD100" s="13"/>
      <c r="AE100" s="13"/>
      <c r="AF100" s="138"/>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row>
    <row r="101" spans="1:75" x14ac:dyDescent="0.25">
      <c r="A101" s="13"/>
      <c r="B101" s="13"/>
      <c r="C101" s="13"/>
      <c r="D101" s="13"/>
      <c r="E101" s="13"/>
      <c r="F101" s="13"/>
      <c r="G101" s="13"/>
      <c r="H101" s="148"/>
      <c r="I101" s="86"/>
      <c r="J101" s="13"/>
      <c r="K101" s="13"/>
      <c r="L101" s="13"/>
      <c r="M101" s="13"/>
      <c r="N101" s="13"/>
      <c r="O101" s="13"/>
      <c r="P101" s="13"/>
      <c r="Q101" s="13"/>
      <c r="R101" s="13"/>
      <c r="S101" s="13"/>
      <c r="T101" s="13"/>
      <c r="U101" s="13"/>
      <c r="V101" s="13"/>
      <c r="W101" s="13"/>
      <c r="X101" s="13"/>
      <c r="Y101" s="13"/>
      <c r="Z101" s="13"/>
      <c r="AA101" s="13"/>
      <c r="AB101" s="87"/>
      <c r="AC101" s="13"/>
      <c r="AD101" s="13"/>
      <c r="AE101" s="13"/>
      <c r="AF101" s="138"/>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row>
    <row r="102" spans="1:75" x14ac:dyDescent="0.25">
      <c r="A102" s="13"/>
      <c r="B102" s="13"/>
      <c r="C102" s="13"/>
      <c r="D102" s="13"/>
      <c r="E102" s="13"/>
      <c r="F102" s="13"/>
      <c r="G102" s="13"/>
      <c r="H102" s="148"/>
      <c r="I102" s="86"/>
      <c r="J102" s="13"/>
      <c r="K102" s="13"/>
      <c r="L102" s="13"/>
      <c r="M102" s="13"/>
      <c r="N102" s="13"/>
      <c r="O102" s="13"/>
      <c r="P102" s="13"/>
      <c r="Q102" s="13"/>
      <c r="R102" s="13"/>
      <c r="S102" s="13"/>
      <c r="T102" s="13"/>
      <c r="U102" s="13"/>
      <c r="V102" s="13"/>
      <c r="W102" s="13"/>
      <c r="X102" s="13"/>
      <c r="Y102" s="13"/>
      <c r="Z102" s="13"/>
      <c r="AA102" s="13"/>
      <c r="AB102" s="87"/>
      <c r="AC102" s="13"/>
      <c r="AD102" s="13"/>
      <c r="AE102" s="13"/>
      <c r="AF102" s="138"/>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row>
    <row r="103" spans="1:75" x14ac:dyDescent="0.25">
      <c r="A103" s="13"/>
      <c r="B103" s="13"/>
      <c r="C103" s="13"/>
      <c r="D103" s="13"/>
      <c r="E103" s="13"/>
      <c r="F103" s="13"/>
      <c r="G103" s="13"/>
      <c r="H103" s="148"/>
      <c r="I103" s="86"/>
      <c r="J103" s="13"/>
      <c r="K103" s="13"/>
      <c r="L103" s="13"/>
      <c r="M103" s="13"/>
      <c r="N103" s="13"/>
      <c r="O103" s="13"/>
      <c r="P103" s="13"/>
      <c r="Q103" s="13"/>
      <c r="R103" s="13"/>
      <c r="S103" s="13"/>
      <c r="T103" s="13"/>
      <c r="U103" s="13"/>
      <c r="V103" s="13"/>
      <c r="W103" s="13"/>
      <c r="X103" s="13"/>
      <c r="Y103" s="13"/>
      <c r="Z103" s="13"/>
      <c r="AA103" s="13"/>
      <c r="AB103" s="87"/>
      <c r="AC103" s="13"/>
      <c r="AD103" s="13"/>
      <c r="AE103" s="13"/>
      <c r="AF103" s="138"/>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row>
    <row r="104" spans="1:75" x14ac:dyDescent="0.25">
      <c r="A104" s="13"/>
      <c r="B104" s="13"/>
      <c r="C104" s="13"/>
      <c r="D104" s="13"/>
      <c r="E104" s="13"/>
      <c r="F104" s="13"/>
      <c r="G104" s="13"/>
      <c r="H104" s="148"/>
      <c r="I104" s="86"/>
      <c r="J104" s="13"/>
      <c r="K104" s="13"/>
      <c r="L104" s="13"/>
      <c r="M104" s="13"/>
      <c r="N104" s="13"/>
      <c r="O104" s="13"/>
      <c r="P104" s="13"/>
      <c r="Q104" s="13"/>
      <c r="R104" s="13"/>
      <c r="S104" s="13"/>
      <c r="T104" s="13"/>
      <c r="U104" s="13"/>
      <c r="V104" s="13"/>
      <c r="W104" s="13"/>
      <c r="X104" s="13"/>
      <c r="Y104" s="13"/>
      <c r="Z104" s="13"/>
      <c r="AA104" s="13"/>
      <c r="AB104" s="87"/>
      <c r="AC104" s="13"/>
      <c r="AD104" s="13"/>
      <c r="AE104" s="13"/>
      <c r="AF104" s="138"/>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row>
    <row r="105" spans="1:75" x14ac:dyDescent="0.25">
      <c r="A105" s="13"/>
      <c r="B105" s="13"/>
      <c r="C105" s="13"/>
      <c r="D105" s="13"/>
      <c r="E105" s="13"/>
      <c r="F105" s="13"/>
      <c r="G105" s="13"/>
      <c r="H105" s="148"/>
      <c r="I105" s="86"/>
      <c r="J105" s="13"/>
      <c r="K105" s="13"/>
      <c r="L105" s="13"/>
      <c r="M105" s="13"/>
      <c r="N105" s="13"/>
      <c r="O105" s="13"/>
      <c r="P105" s="13"/>
      <c r="Q105" s="13"/>
      <c r="R105" s="13"/>
      <c r="S105" s="13"/>
      <c r="T105" s="13"/>
      <c r="U105" s="13"/>
      <c r="V105" s="13"/>
      <c r="W105" s="13"/>
      <c r="X105" s="13"/>
      <c r="Y105" s="13"/>
      <c r="Z105" s="13"/>
      <c r="AA105" s="13"/>
      <c r="AB105" s="87"/>
      <c r="AC105" s="13"/>
      <c r="AD105" s="13"/>
      <c r="AE105" s="13"/>
      <c r="AF105" s="138"/>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row>
    <row r="106" spans="1:75" x14ac:dyDescent="0.25">
      <c r="A106" s="13"/>
      <c r="B106" s="13"/>
      <c r="C106" s="13"/>
      <c r="D106" s="13"/>
      <c r="E106" s="13"/>
      <c r="F106" s="13"/>
      <c r="G106" s="13"/>
      <c r="H106" s="148"/>
      <c r="I106" s="86"/>
      <c r="J106" s="13"/>
      <c r="K106" s="13"/>
      <c r="L106" s="13"/>
      <c r="M106" s="13"/>
      <c r="N106" s="13"/>
      <c r="O106" s="13"/>
      <c r="P106" s="13"/>
      <c r="Q106" s="13"/>
      <c r="R106" s="13"/>
      <c r="S106" s="13"/>
      <c r="T106" s="13"/>
      <c r="U106" s="13"/>
      <c r="V106" s="13"/>
      <c r="W106" s="13"/>
      <c r="X106" s="13"/>
      <c r="Y106" s="13"/>
      <c r="Z106" s="13"/>
      <c r="AA106" s="13"/>
      <c r="AB106" s="87"/>
      <c r="AC106" s="13"/>
      <c r="AD106" s="13"/>
      <c r="AE106" s="13"/>
      <c r="AF106" s="138"/>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row>
    <row r="107" spans="1:75" x14ac:dyDescent="0.25">
      <c r="A107" s="13"/>
      <c r="B107" s="13"/>
      <c r="C107" s="13"/>
      <c r="D107" s="13"/>
      <c r="E107" s="13"/>
      <c r="F107" s="13"/>
      <c r="G107" s="13"/>
      <c r="H107" s="148"/>
      <c r="I107" s="86"/>
      <c r="J107" s="13"/>
      <c r="K107" s="13"/>
      <c r="L107" s="13"/>
      <c r="M107" s="13"/>
      <c r="N107" s="13"/>
      <c r="O107" s="13"/>
      <c r="P107" s="13"/>
      <c r="Q107" s="13"/>
      <c r="R107" s="13"/>
      <c r="S107" s="13"/>
      <c r="T107" s="13"/>
      <c r="U107" s="13"/>
      <c r="V107" s="13"/>
      <c r="W107" s="13"/>
      <c r="X107" s="13"/>
      <c r="Y107" s="13"/>
      <c r="Z107" s="13"/>
      <c r="AA107" s="13"/>
      <c r="AB107" s="87"/>
      <c r="AC107" s="13"/>
      <c r="AD107" s="13"/>
      <c r="AE107" s="13"/>
      <c r="AF107" s="138"/>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row>
    <row r="108" spans="1:75" x14ac:dyDescent="0.25">
      <c r="A108" s="13"/>
      <c r="B108" s="13"/>
      <c r="C108" s="13"/>
      <c r="D108" s="13"/>
      <c r="E108" s="13"/>
      <c r="F108" s="13"/>
      <c r="G108" s="13"/>
      <c r="H108" s="148"/>
      <c r="I108" s="86"/>
      <c r="J108" s="13"/>
      <c r="K108" s="13"/>
      <c r="L108" s="13"/>
      <c r="M108" s="13"/>
      <c r="N108" s="13"/>
      <c r="O108" s="13"/>
      <c r="P108" s="13"/>
      <c r="Q108" s="13"/>
      <c r="R108" s="13"/>
      <c r="S108" s="13"/>
      <c r="T108" s="13"/>
      <c r="U108" s="13"/>
      <c r="V108" s="13"/>
      <c r="W108" s="13"/>
      <c r="X108" s="13"/>
      <c r="Y108" s="13"/>
      <c r="Z108" s="13"/>
      <c r="AA108" s="13"/>
      <c r="AB108" s="87"/>
      <c r="AC108" s="13"/>
      <c r="AD108" s="13"/>
      <c r="AE108" s="13"/>
      <c r="AF108" s="138"/>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row>
    <row r="109" spans="1:75" x14ac:dyDescent="0.25">
      <c r="A109" s="13"/>
      <c r="B109" s="13"/>
      <c r="C109" s="13"/>
      <c r="D109" s="13"/>
      <c r="E109" s="13"/>
      <c r="F109" s="13"/>
      <c r="G109" s="13"/>
      <c r="H109" s="148"/>
      <c r="I109" s="86"/>
      <c r="J109" s="13"/>
      <c r="K109" s="13"/>
      <c r="L109" s="13"/>
      <c r="M109" s="13"/>
      <c r="N109" s="13"/>
      <c r="O109" s="13"/>
      <c r="P109" s="13"/>
      <c r="Q109" s="13"/>
      <c r="R109" s="13"/>
      <c r="S109" s="13"/>
      <c r="T109" s="13"/>
      <c r="U109" s="13"/>
      <c r="V109" s="13"/>
      <c r="W109" s="13"/>
      <c r="X109" s="13"/>
      <c r="Y109" s="13"/>
      <c r="Z109" s="13"/>
      <c r="AA109" s="13"/>
      <c r="AB109" s="87"/>
      <c r="AC109" s="13"/>
      <c r="AD109" s="13"/>
      <c r="AE109" s="13"/>
      <c r="AF109" s="138"/>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row>
    <row r="110" spans="1:75" x14ac:dyDescent="0.25">
      <c r="A110" s="13"/>
      <c r="B110" s="13"/>
      <c r="C110" s="13"/>
      <c r="D110" s="13"/>
      <c r="E110" s="13"/>
      <c r="F110" s="13"/>
      <c r="G110" s="13"/>
      <c r="H110" s="148"/>
      <c r="I110" s="86"/>
      <c r="J110" s="13"/>
      <c r="K110" s="13"/>
      <c r="L110" s="13"/>
      <c r="M110" s="13"/>
      <c r="N110" s="13"/>
      <c r="O110" s="13"/>
      <c r="P110" s="13"/>
      <c r="Q110" s="13"/>
      <c r="R110" s="13"/>
      <c r="S110" s="13"/>
      <c r="T110" s="13"/>
      <c r="U110" s="13"/>
      <c r="V110" s="13"/>
      <c r="W110" s="13"/>
      <c r="X110" s="13"/>
      <c r="Y110" s="13"/>
      <c r="Z110" s="13"/>
      <c r="AA110" s="13"/>
      <c r="AB110" s="87"/>
      <c r="AC110" s="13"/>
      <c r="AD110" s="13"/>
      <c r="AE110" s="13"/>
      <c r="AF110" s="138"/>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row>
    <row r="111" spans="1:75" x14ac:dyDescent="0.25">
      <c r="A111" s="13"/>
      <c r="B111" s="13"/>
      <c r="C111" s="13"/>
      <c r="D111" s="13"/>
      <c r="E111" s="13"/>
      <c r="F111" s="13"/>
      <c r="G111" s="13"/>
      <c r="H111" s="148"/>
      <c r="I111" s="86"/>
      <c r="J111" s="13"/>
      <c r="K111" s="13"/>
      <c r="L111" s="13"/>
      <c r="M111" s="13"/>
      <c r="N111" s="13"/>
      <c r="O111" s="13"/>
      <c r="P111" s="13"/>
      <c r="Q111" s="13"/>
      <c r="R111" s="13"/>
      <c r="S111" s="13"/>
      <c r="T111" s="13"/>
      <c r="U111" s="13"/>
      <c r="V111" s="13"/>
      <c r="W111" s="13"/>
      <c r="X111" s="13"/>
      <c r="Y111" s="13"/>
      <c r="Z111" s="13"/>
      <c r="AA111" s="13"/>
      <c r="AB111" s="87"/>
      <c r="AC111" s="13"/>
      <c r="AD111" s="13"/>
      <c r="AE111" s="13"/>
      <c r="AF111" s="138"/>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row>
    <row r="112" spans="1:75" x14ac:dyDescent="0.25">
      <c r="A112" s="13"/>
      <c r="B112" s="13"/>
      <c r="C112" s="13"/>
      <c r="D112" s="13"/>
      <c r="E112" s="13"/>
      <c r="F112" s="13"/>
      <c r="G112" s="13"/>
      <c r="H112" s="148"/>
      <c r="I112" s="86"/>
      <c r="J112" s="13"/>
      <c r="K112" s="13"/>
      <c r="L112" s="13"/>
      <c r="M112" s="13"/>
      <c r="N112" s="13"/>
      <c r="O112" s="13"/>
      <c r="P112" s="13"/>
      <c r="Q112" s="13"/>
      <c r="R112" s="13"/>
      <c r="S112" s="13"/>
      <c r="T112" s="13"/>
      <c r="U112" s="13"/>
      <c r="V112" s="13"/>
      <c r="W112" s="13"/>
      <c r="X112" s="13"/>
      <c r="Y112" s="13"/>
      <c r="Z112" s="13"/>
      <c r="AA112" s="13"/>
      <c r="AB112" s="87"/>
      <c r="AC112" s="13"/>
      <c r="AD112" s="13"/>
      <c r="AE112" s="13"/>
      <c r="AF112" s="138"/>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row>
    <row r="113" spans="1:75" x14ac:dyDescent="0.25">
      <c r="A113" s="13"/>
      <c r="B113" s="13"/>
      <c r="C113" s="13"/>
      <c r="D113" s="13"/>
      <c r="E113" s="13"/>
      <c r="F113" s="13"/>
      <c r="G113" s="13"/>
      <c r="H113" s="148"/>
      <c r="I113" s="86"/>
      <c r="J113" s="13"/>
      <c r="K113" s="13"/>
      <c r="L113" s="13"/>
      <c r="M113" s="13"/>
      <c r="N113" s="13"/>
      <c r="O113" s="13"/>
      <c r="P113" s="13"/>
      <c r="Q113" s="13"/>
      <c r="R113" s="13"/>
      <c r="S113" s="13"/>
      <c r="T113" s="13"/>
      <c r="U113" s="13"/>
      <c r="V113" s="13"/>
      <c r="W113" s="13"/>
      <c r="X113" s="13"/>
      <c r="Y113" s="13"/>
      <c r="Z113" s="13"/>
      <c r="AA113" s="13"/>
      <c r="AB113" s="87"/>
      <c r="AC113" s="13"/>
      <c r="AD113" s="13"/>
      <c r="AE113" s="13"/>
      <c r="AF113" s="138"/>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row>
    <row r="114" spans="1:75" x14ac:dyDescent="0.25">
      <c r="A114" s="13"/>
      <c r="B114" s="13"/>
      <c r="C114" s="13"/>
      <c r="D114" s="13"/>
      <c r="E114" s="13"/>
      <c r="F114" s="13"/>
      <c r="G114" s="13"/>
      <c r="H114" s="148"/>
      <c r="I114" s="86"/>
      <c r="J114" s="13"/>
      <c r="K114" s="13"/>
      <c r="L114" s="13"/>
      <c r="M114" s="13"/>
      <c r="N114" s="13"/>
      <c r="O114" s="13"/>
      <c r="P114" s="13"/>
      <c r="Q114" s="13"/>
      <c r="R114" s="13"/>
      <c r="S114" s="13"/>
      <c r="T114" s="13"/>
      <c r="U114" s="13"/>
      <c r="V114" s="13"/>
      <c r="W114" s="13"/>
      <c r="X114" s="13"/>
      <c r="Y114" s="13"/>
      <c r="Z114" s="13"/>
      <c r="AA114" s="13"/>
      <c r="AB114" s="87"/>
      <c r="AC114" s="13"/>
      <c r="AD114" s="13"/>
      <c r="AE114" s="13"/>
      <c r="AF114" s="138"/>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row>
    <row r="115" spans="1:75" x14ac:dyDescent="0.25">
      <c r="A115" s="13"/>
      <c r="B115" s="13"/>
      <c r="C115" s="13"/>
      <c r="D115" s="13"/>
      <c r="E115" s="13"/>
      <c r="F115" s="13"/>
      <c r="G115" s="13"/>
      <c r="H115" s="148"/>
      <c r="I115" s="86"/>
      <c r="J115" s="13"/>
      <c r="K115" s="13"/>
      <c r="L115" s="13"/>
      <c r="M115" s="13"/>
      <c r="N115" s="13"/>
      <c r="O115" s="13"/>
      <c r="P115" s="13"/>
      <c r="Q115" s="13"/>
      <c r="R115" s="13"/>
      <c r="S115" s="13"/>
      <c r="T115" s="13"/>
      <c r="U115" s="13"/>
      <c r="V115" s="13"/>
      <c r="W115" s="13"/>
      <c r="X115" s="13"/>
      <c r="Y115" s="13"/>
      <c r="Z115" s="13"/>
      <c r="AA115" s="13"/>
      <c r="AB115" s="87"/>
      <c r="AC115" s="13"/>
      <c r="AD115" s="13"/>
      <c r="AE115" s="13"/>
      <c r="AF115" s="138"/>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row>
    <row r="116" spans="1:75" x14ac:dyDescent="0.25">
      <c r="A116" s="13"/>
      <c r="B116" s="13"/>
      <c r="C116" s="13"/>
      <c r="D116" s="13"/>
      <c r="E116" s="13"/>
      <c r="F116" s="13"/>
      <c r="G116" s="13"/>
      <c r="H116" s="148"/>
      <c r="I116" s="86"/>
      <c r="J116" s="13"/>
      <c r="K116" s="13"/>
      <c r="L116" s="13"/>
      <c r="M116" s="13"/>
      <c r="N116" s="13"/>
      <c r="O116" s="13"/>
      <c r="P116" s="13"/>
      <c r="Q116" s="13"/>
      <c r="R116" s="13"/>
      <c r="S116" s="13"/>
      <c r="T116" s="13"/>
      <c r="U116" s="13"/>
      <c r="V116" s="13"/>
      <c r="W116" s="13"/>
      <c r="X116" s="13"/>
      <c r="Y116" s="13"/>
      <c r="Z116" s="13"/>
      <c r="AA116" s="13"/>
      <c r="AB116" s="87"/>
      <c r="AC116" s="13"/>
      <c r="AD116" s="13"/>
      <c r="AE116" s="13"/>
      <c r="AF116" s="138"/>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row>
    <row r="117" spans="1:75" x14ac:dyDescent="0.25">
      <c r="A117" s="13"/>
      <c r="B117" s="13"/>
      <c r="C117" s="13"/>
      <c r="D117" s="13"/>
      <c r="E117" s="13"/>
      <c r="F117" s="13"/>
      <c r="G117" s="13"/>
      <c r="H117" s="148"/>
      <c r="I117" s="86"/>
      <c r="J117" s="13"/>
      <c r="K117" s="13"/>
      <c r="L117" s="13"/>
      <c r="M117" s="13"/>
      <c r="N117" s="13"/>
      <c r="O117" s="13"/>
      <c r="P117" s="13"/>
      <c r="Q117" s="13"/>
      <c r="R117" s="13"/>
      <c r="S117" s="13"/>
      <c r="T117" s="13"/>
      <c r="U117" s="13"/>
      <c r="V117" s="13"/>
      <c r="W117" s="13"/>
      <c r="X117" s="13"/>
      <c r="Y117" s="13"/>
      <c r="Z117" s="13"/>
      <c r="AA117" s="13"/>
      <c r="AB117" s="87"/>
      <c r="AC117" s="13"/>
      <c r="AD117" s="13"/>
      <c r="AE117" s="13"/>
      <c r="AF117" s="138"/>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row>
    <row r="118" spans="1:75" x14ac:dyDescent="0.25">
      <c r="A118" s="13"/>
      <c r="B118" s="13"/>
      <c r="C118" s="13"/>
      <c r="D118" s="13"/>
      <c r="E118" s="13"/>
      <c r="F118" s="13"/>
      <c r="G118" s="13"/>
      <c r="H118" s="148"/>
      <c r="I118" s="86"/>
      <c r="J118" s="13"/>
      <c r="K118" s="13"/>
      <c r="L118" s="13"/>
      <c r="M118" s="13"/>
      <c r="N118" s="13"/>
      <c r="O118" s="13"/>
      <c r="P118" s="13"/>
      <c r="Q118" s="13"/>
      <c r="R118" s="13"/>
      <c r="S118" s="13"/>
      <c r="T118" s="13"/>
      <c r="U118" s="13"/>
      <c r="V118" s="13"/>
      <c r="W118" s="13"/>
      <c r="X118" s="13"/>
      <c r="Y118" s="13"/>
      <c r="Z118" s="13"/>
      <c r="AA118" s="13"/>
      <c r="AB118" s="87"/>
      <c r="AC118" s="13"/>
      <c r="AD118" s="13"/>
      <c r="AE118" s="13"/>
      <c r="AF118" s="138"/>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row>
  </sheetData>
  <sheetProtection algorithmName="SHA-512" hashValue="PvZ1bsH5fBG21S4K7wTReqMS8x/08A8RqFSO4dx7r9r0UPmuRPakFEBkr9A+Tigjar/4PK1BZCdN05ouCJcjPg==" saltValue="4VJ/KrEF9cy7EwiQh4iJsw==" spinCount="100000" sheet="1" objects="1" scenarios="1"/>
  <mergeCells count="53">
    <mergeCell ref="AG6:AO8"/>
    <mergeCell ref="B53:H56"/>
    <mergeCell ref="B2:H2"/>
    <mergeCell ref="B33:D33"/>
    <mergeCell ref="C5:C6"/>
    <mergeCell ref="B29:D29"/>
    <mergeCell ref="B31:H31"/>
    <mergeCell ref="B32:D32"/>
    <mergeCell ref="B22:D22"/>
    <mergeCell ref="B23:D23"/>
    <mergeCell ref="B25:H25"/>
    <mergeCell ref="B26:D26"/>
    <mergeCell ref="B27:D27"/>
    <mergeCell ref="B28:D28"/>
    <mergeCell ref="B18:H18"/>
    <mergeCell ref="B19:D19"/>
    <mergeCell ref="B20:D20"/>
    <mergeCell ref="AC5:AC6"/>
    <mergeCell ref="B41:H41"/>
    <mergeCell ref="B42:D42"/>
    <mergeCell ref="B39:D39"/>
    <mergeCell ref="B34:D34"/>
    <mergeCell ref="B35:D35"/>
    <mergeCell ref="B37:D37"/>
    <mergeCell ref="Z5:Z6"/>
    <mergeCell ref="AA5:AA6"/>
    <mergeCell ref="X5:X6"/>
    <mergeCell ref="Y5:Y6"/>
    <mergeCell ref="U5:U6"/>
    <mergeCell ref="W5:W6"/>
    <mergeCell ref="M5:M6"/>
    <mergeCell ref="N5:N6"/>
    <mergeCell ref="B43:H43"/>
    <mergeCell ref="B44:C44"/>
    <mergeCell ref="B45:C45"/>
    <mergeCell ref="B46:C46"/>
    <mergeCell ref="B21:D21"/>
    <mergeCell ref="AB5:AB6"/>
    <mergeCell ref="B38:H38"/>
    <mergeCell ref="B5:B6"/>
    <mergeCell ref="D5:D6"/>
    <mergeCell ref="H5:H6"/>
    <mergeCell ref="S5:S6"/>
    <mergeCell ref="T5:T6"/>
    <mergeCell ref="J5:J6"/>
    <mergeCell ref="K5:K6"/>
    <mergeCell ref="L5:L6"/>
    <mergeCell ref="O5:O6"/>
    <mergeCell ref="P5:P6"/>
    <mergeCell ref="B36:H36"/>
    <mergeCell ref="R5:R6"/>
    <mergeCell ref="V5:V6"/>
    <mergeCell ref="Q5:Q6"/>
  </mergeCells>
  <pageMargins left="0.7" right="0.7" top="0.75" bottom="0.75" header="0.3" footer="0.3"/>
  <pageSetup orientation="portrait" r:id="rId1"/>
  <ignoredErrors>
    <ignoredError sqref="B19:D19 C39:H39 B35:H35 C33:D33 C32:E32 B37:H37 B36 B38 C34:G34 B23:H25 B20:D20 F20 B21:D21 F21 B22:D22 F22 B29:H31 B26:G26 B27:G27 B28:G28 F19:G19" unlockedFormula="1"/>
  </ignoredErrors>
  <drawing r:id="rId2"/>
  <legacyDrawing r:id="rId3"/>
  <controls>
    <mc:AlternateContent xmlns:mc="http://schemas.openxmlformats.org/markup-compatibility/2006">
      <mc:Choice Requires="x14">
        <control shapeId="1031" r:id="rId4" name="DTPicker1">
          <controlPr autoLine="0" autoPict="0" linkedCell="H7" r:id="rId5">
            <anchor moveWithCells="1">
              <from>
                <xdr:col>7</xdr:col>
                <xdr:colOff>542925</xdr:colOff>
                <xdr:row>6</xdr:row>
                <xdr:rowOff>28575</xdr:rowOff>
              </from>
              <to>
                <xdr:col>7</xdr:col>
                <xdr:colOff>1714500</xdr:colOff>
                <xdr:row>6</xdr:row>
                <xdr:rowOff>400050</xdr:rowOff>
              </to>
            </anchor>
          </controlPr>
        </control>
      </mc:Choice>
      <mc:Fallback>
        <control shapeId="1031" r:id="rId4" name="DTPicker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'Trucking Rates'!$L$2:$L$13</xm:f>
          </x14:formula1>
          <xm:sqref>C13</xm:sqref>
        </x14:dataValidation>
        <x14:dataValidation type="list" allowBlank="1" showInputMessage="1" showErrorMessage="1">
          <x14:formula1>
            <xm:f>'Trucking Rates'!$A$27:$A$34</xm:f>
          </x14:formula1>
          <xm:sqref>C16</xm:sqref>
        </x14:dataValidation>
        <x14:dataValidation type="list" allowBlank="1" showInputMessage="1" showErrorMessage="1">
          <x14:formula1>
            <xm:f>'Trucking Rates'!$A$2:$A$22</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34"/>
  <sheetViews>
    <sheetView topLeftCell="AD1" workbookViewId="0">
      <selection activeCell="AF25" sqref="AF25"/>
    </sheetView>
  </sheetViews>
  <sheetFormatPr defaultRowHeight="15" x14ac:dyDescent="0.25"/>
  <cols>
    <col min="1" max="1" width="24.28515625" style="53" hidden="1" customWidth="1"/>
    <col min="2" max="2" width="12" style="53" hidden="1" customWidth="1"/>
    <col min="3" max="3" width="9.140625" style="53" hidden="1" customWidth="1"/>
    <col min="4" max="4" width="9.85546875" style="53" hidden="1" customWidth="1"/>
    <col min="5" max="5" width="16" style="53" hidden="1" customWidth="1"/>
    <col min="6" max="6" width="9.140625" style="53" hidden="1" customWidth="1"/>
    <col min="7" max="7" width="27.140625" style="53" hidden="1" customWidth="1"/>
    <col min="8" max="8" width="27.85546875" style="53" hidden="1" customWidth="1"/>
    <col min="9" max="10" width="10.28515625" style="162" hidden="1" customWidth="1"/>
    <col min="11" max="11" width="9.140625" style="53" hidden="1" customWidth="1"/>
    <col min="12" max="12" width="19.5703125" hidden="1" customWidth="1"/>
    <col min="13" max="13" width="9.7109375" style="3" hidden="1" customWidth="1"/>
    <col min="14" max="18" width="10.140625" style="3" hidden="1" customWidth="1"/>
    <col min="19" max="19" width="1.85546875" style="3" hidden="1" customWidth="1"/>
    <col min="20" max="20" width="15" hidden="1" customWidth="1"/>
    <col min="21" max="21" width="1.85546875" hidden="1" customWidth="1"/>
    <col min="22" max="22" width="14.5703125" hidden="1" customWidth="1"/>
    <col min="23" max="23" width="1.85546875" hidden="1" customWidth="1"/>
    <col min="24" max="24" width="12.7109375" hidden="1" customWidth="1"/>
    <col min="25" max="25" width="1.85546875" hidden="1" customWidth="1"/>
    <col min="26" max="26" width="14.140625" hidden="1" customWidth="1"/>
    <col min="27" max="27" width="1.85546875" hidden="1" customWidth="1"/>
    <col min="28" max="29" width="10.7109375" hidden="1" customWidth="1"/>
  </cols>
  <sheetData>
    <row r="1" spans="1:29" ht="29.1" customHeight="1" x14ac:dyDescent="0.25">
      <c r="A1" s="1" t="s">
        <v>72</v>
      </c>
      <c r="B1" s="2" t="s">
        <v>33</v>
      </c>
      <c r="C1" s="1" t="s">
        <v>73</v>
      </c>
      <c r="D1" s="1" t="s">
        <v>65</v>
      </c>
      <c r="F1" s="159"/>
      <c r="G1" s="159" t="s">
        <v>66</v>
      </c>
      <c r="H1" s="159" t="s">
        <v>67</v>
      </c>
      <c r="I1" s="160"/>
      <c r="J1" s="160"/>
      <c r="L1" s="4" t="s">
        <v>47</v>
      </c>
      <c r="M1" s="5" t="s">
        <v>48</v>
      </c>
      <c r="N1" s="5" t="s">
        <v>49</v>
      </c>
      <c r="O1" s="5" t="s">
        <v>50</v>
      </c>
      <c r="P1" s="5" t="s">
        <v>51</v>
      </c>
      <c r="Q1" s="5" t="s">
        <v>52</v>
      </c>
      <c r="R1" s="5" t="s">
        <v>53</v>
      </c>
      <c r="S1" s="8"/>
      <c r="T1" s="9" t="s">
        <v>8</v>
      </c>
      <c r="V1" s="4" t="s">
        <v>54</v>
      </c>
      <c r="X1" s="11" t="s">
        <v>55</v>
      </c>
      <c r="Z1" s="57" t="s">
        <v>77</v>
      </c>
      <c r="AB1" s="59" t="s">
        <v>78</v>
      </c>
      <c r="AC1" s="5" t="s">
        <v>80</v>
      </c>
    </row>
    <row r="2" spans="1:29" x14ac:dyDescent="0.25">
      <c r="A2" s="53" t="s">
        <v>83</v>
      </c>
      <c r="B2" s="53">
        <v>0</v>
      </c>
      <c r="D2" s="61"/>
      <c r="E2" s="61"/>
      <c r="F2" s="56"/>
      <c r="G2" s="158"/>
      <c r="H2" s="158"/>
      <c r="I2" s="161">
        <v>0</v>
      </c>
      <c r="J2" s="161">
        <v>0</v>
      </c>
      <c r="K2" s="164"/>
      <c r="L2" s="66" t="s">
        <v>84</v>
      </c>
      <c r="M2" s="6"/>
      <c r="N2" s="6"/>
      <c r="O2" s="6"/>
      <c r="P2" s="6"/>
      <c r="Q2" s="6"/>
      <c r="R2" s="6"/>
      <c r="S2" s="7"/>
      <c r="T2" s="10"/>
      <c r="V2" s="6"/>
      <c r="X2" s="6"/>
      <c r="Y2" s="12"/>
      <c r="Z2" s="58"/>
      <c r="AB2" s="60"/>
      <c r="AC2" s="55"/>
    </row>
    <row r="3" spans="1:29" x14ac:dyDescent="0.25">
      <c r="A3" s="65" t="s">
        <v>20</v>
      </c>
      <c r="B3" s="65">
        <v>1</v>
      </c>
      <c r="C3" s="65">
        <v>0</v>
      </c>
      <c r="D3" s="61" t="str">
        <f>'Freight Calculator'!$AB$7</f>
        <v>10/15/2021</v>
      </c>
      <c r="E3" s="61">
        <f>D3+7</f>
        <v>44491</v>
      </c>
      <c r="F3" s="56">
        <f>WEEKDAY(D3+7-2)</f>
        <v>4</v>
      </c>
      <c r="G3" s="158">
        <f>E3-F3</f>
        <v>44487</v>
      </c>
      <c r="H3" s="158">
        <f>G3+3</f>
        <v>44490</v>
      </c>
      <c r="I3" s="161">
        <v>275</v>
      </c>
      <c r="J3" s="161">
        <v>285</v>
      </c>
      <c r="K3" s="164"/>
      <c r="L3" s="66" t="s">
        <v>43</v>
      </c>
      <c r="M3" s="6">
        <v>145</v>
      </c>
      <c r="N3" s="6">
        <v>31.9</v>
      </c>
      <c r="O3" s="6">
        <v>30.8</v>
      </c>
      <c r="P3" s="6">
        <v>28.6</v>
      </c>
      <c r="Q3" s="6">
        <v>26.4</v>
      </c>
      <c r="R3" s="6">
        <v>24.2</v>
      </c>
      <c r="S3" s="7"/>
      <c r="T3" s="10">
        <f>'Freight Calculator'!AA$7</f>
        <v>0.77195949033615041</v>
      </c>
      <c r="V3" s="6">
        <f>IF(T3&lt;=9.99,N3,IF(AND(T3&gt;=10,T3&lt;=29.99),O3,IF(AND(T3&gt;=30,T3&lt;=49.99),P3,IF(AND(T3&gt;=50,T3&lt;=99.99),Q3,IF(AND(T3&gt;=100),R3,0)))))</f>
        <v>31.9</v>
      </c>
      <c r="X3" s="6">
        <f>V3*T3</f>
        <v>24.625507741723197</v>
      </c>
      <c r="Y3" s="12"/>
      <c r="Z3" s="58">
        <f>IF(X3&gt;M3,X3,M3)*1.15</f>
        <v>166.75</v>
      </c>
      <c r="AB3" s="60">
        <v>14</v>
      </c>
      <c r="AC3" s="55">
        <f>AB3+'Freight Calculator'!$E$45</f>
        <v>14</v>
      </c>
    </row>
    <row r="4" spans="1:29" x14ac:dyDescent="0.25">
      <c r="A4" s="53" t="s">
        <v>21</v>
      </c>
      <c r="B4" s="53">
        <v>1</v>
      </c>
      <c r="C4" s="53">
        <v>1</v>
      </c>
      <c r="D4" s="61" t="str">
        <f>'Freight Calculator'!$AB$7</f>
        <v>10/15/2021</v>
      </c>
      <c r="E4" s="61">
        <f t="shared" ref="E4:E22" si="0">D4+7</f>
        <v>44491</v>
      </c>
      <c r="F4" s="56">
        <f>WEEKDAY(D4+7-6)</f>
        <v>7</v>
      </c>
      <c r="G4" s="158">
        <f t="shared" ref="G4:G22" si="1">E4-F4</f>
        <v>44484</v>
      </c>
      <c r="H4" s="158">
        <f>G4+6</f>
        <v>44490</v>
      </c>
      <c r="I4" s="161">
        <v>275</v>
      </c>
      <c r="J4" s="161">
        <v>285</v>
      </c>
      <c r="L4" s="66" t="s">
        <v>38</v>
      </c>
      <c r="M4" s="6">
        <v>110</v>
      </c>
      <c r="N4" s="6">
        <v>39</v>
      </c>
      <c r="O4" s="6">
        <v>38</v>
      </c>
      <c r="P4" s="6">
        <v>36</v>
      </c>
      <c r="Q4" s="6">
        <v>35</v>
      </c>
      <c r="R4" s="6">
        <v>34</v>
      </c>
      <c r="S4" s="7"/>
      <c r="T4" s="10">
        <f>'Freight Calculator'!AA$7</f>
        <v>0.77195949033615041</v>
      </c>
      <c r="V4" s="6">
        <f t="shared" ref="V4:V13" si="2">IF(T4&lt;=9.99,N4,IF(AND(T4&gt;=10,T4&lt;=29.99),O4,IF(AND(T4&gt;=30,T4&lt;=49.99),P4,IF(AND(T4&gt;=50,T4&lt;=99.99),Q4,IF(AND(T4&gt;=100),R4,0)))))</f>
        <v>39</v>
      </c>
      <c r="X4" s="6">
        <f t="shared" ref="X4:X10" si="3">V4*T4</f>
        <v>30.106420123109867</v>
      </c>
      <c r="Y4" s="12"/>
      <c r="Z4" s="58">
        <f>IF(X4&gt;M4,X4,M4)*1.15</f>
        <v>126.49999999999999</v>
      </c>
      <c r="AB4" s="60">
        <v>15</v>
      </c>
      <c r="AC4" s="55">
        <f>AB4+'Freight Calculator'!$E$45</f>
        <v>15</v>
      </c>
    </row>
    <row r="5" spans="1:29" x14ac:dyDescent="0.25">
      <c r="A5" s="53" t="s">
        <v>22</v>
      </c>
      <c r="B5" s="53">
        <v>2</v>
      </c>
      <c r="C5" s="53">
        <v>3</v>
      </c>
      <c r="D5" s="61" t="str">
        <f>'Freight Calculator'!$AB$7</f>
        <v>10/15/2021</v>
      </c>
      <c r="E5" s="61">
        <f t="shared" si="0"/>
        <v>44491</v>
      </c>
      <c r="F5" s="56">
        <f t="shared" ref="F5:F19" si="4">WEEKDAY(D5+7-6)</f>
        <v>7</v>
      </c>
      <c r="G5" s="158">
        <f t="shared" si="1"/>
        <v>44484</v>
      </c>
      <c r="H5" s="158">
        <f t="shared" ref="H5:H15" si="5">G5+6</f>
        <v>44490</v>
      </c>
      <c r="I5" s="7">
        <v>305</v>
      </c>
      <c r="J5" s="7">
        <v>315</v>
      </c>
      <c r="L5" s="66" t="s">
        <v>40</v>
      </c>
      <c r="M5" s="6">
        <v>120</v>
      </c>
      <c r="N5" s="6">
        <v>44</v>
      </c>
      <c r="O5" s="6">
        <v>43</v>
      </c>
      <c r="P5" s="6">
        <v>42</v>
      </c>
      <c r="Q5" s="6">
        <v>39</v>
      </c>
      <c r="R5" s="6">
        <v>36</v>
      </c>
      <c r="S5" s="7"/>
      <c r="T5" s="10">
        <f>'Freight Calculator'!AA$7</f>
        <v>0.77195949033615041</v>
      </c>
      <c r="V5" s="6">
        <f t="shared" si="2"/>
        <v>44</v>
      </c>
      <c r="X5" s="6">
        <f t="shared" si="3"/>
        <v>33.966217574790619</v>
      </c>
      <c r="Y5" s="12"/>
      <c r="Z5" s="58">
        <f t="shared" ref="Z5:Z13" si="6">IF(X5&gt;M5,X5,M5)*1.15</f>
        <v>138</v>
      </c>
      <c r="AB5" s="60">
        <v>15</v>
      </c>
      <c r="AC5" s="55">
        <f>AB5+'Freight Calculator'!$E$45</f>
        <v>15</v>
      </c>
    </row>
    <row r="6" spans="1:29" x14ac:dyDescent="0.25">
      <c r="A6" s="53" t="s">
        <v>23</v>
      </c>
      <c r="B6" s="53">
        <v>2</v>
      </c>
      <c r="C6" s="53">
        <v>3</v>
      </c>
      <c r="D6" s="61" t="str">
        <f>'Freight Calculator'!$AB$7</f>
        <v>10/15/2021</v>
      </c>
      <c r="E6" s="61">
        <f t="shared" si="0"/>
        <v>44491</v>
      </c>
      <c r="F6" s="56">
        <f t="shared" si="4"/>
        <v>7</v>
      </c>
      <c r="G6" s="158">
        <f t="shared" si="1"/>
        <v>44484</v>
      </c>
      <c r="H6" s="158">
        <f t="shared" si="5"/>
        <v>44490</v>
      </c>
      <c r="I6" s="7">
        <v>305</v>
      </c>
      <c r="J6" s="7">
        <v>315</v>
      </c>
      <c r="L6" s="66" t="s">
        <v>44</v>
      </c>
      <c r="M6" s="6">
        <v>165</v>
      </c>
      <c r="N6" s="6">
        <v>36.299999999999997</v>
      </c>
      <c r="O6" s="6">
        <v>34.1</v>
      </c>
      <c r="P6" s="6">
        <v>33</v>
      </c>
      <c r="Q6" s="6">
        <v>30.8</v>
      </c>
      <c r="R6" s="6">
        <v>28.6</v>
      </c>
      <c r="S6" s="7"/>
      <c r="T6" s="10">
        <f>'Freight Calculator'!AA$7</f>
        <v>0.77195949033615041</v>
      </c>
      <c r="V6" s="6">
        <f t="shared" si="2"/>
        <v>36.299999999999997</v>
      </c>
      <c r="X6" s="6">
        <f t="shared" si="3"/>
        <v>28.022129499202258</v>
      </c>
      <c r="Y6" s="12"/>
      <c r="Z6" s="58">
        <f t="shared" si="6"/>
        <v>189.74999999999997</v>
      </c>
      <c r="AB6" s="60">
        <v>15</v>
      </c>
      <c r="AC6" s="55">
        <f>AB6+'Freight Calculator'!$E$45</f>
        <v>15</v>
      </c>
    </row>
    <row r="7" spans="1:29" x14ac:dyDescent="0.25">
      <c r="A7" s="53" t="s">
        <v>24</v>
      </c>
      <c r="B7" s="53">
        <v>2</v>
      </c>
      <c r="C7" s="53">
        <v>3</v>
      </c>
      <c r="D7" s="61" t="str">
        <f>'Freight Calculator'!$AB$7</f>
        <v>10/15/2021</v>
      </c>
      <c r="E7" s="61">
        <f t="shared" si="0"/>
        <v>44491</v>
      </c>
      <c r="F7" s="56">
        <f t="shared" si="4"/>
        <v>7</v>
      </c>
      <c r="G7" s="158">
        <f t="shared" si="1"/>
        <v>44484</v>
      </c>
      <c r="H7" s="158">
        <f t="shared" si="5"/>
        <v>44490</v>
      </c>
      <c r="I7" s="7">
        <v>305</v>
      </c>
      <c r="J7" s="7">
        <v>315</v>
      </c>
      <c r="L7" s="66" t="s">
        <v>45</v>
      </c>
      <c r="M7" s="6">
        <v>145</v>
      </c>
      <c r="N7" s="6">
        <v>39.6</v>
      </c>
      <c r="O7" s="6">
        <v>38.5</v>
      </c>
      <c r="P7" s="6">
        <v>36.299999999999997</v>
      </c>
      <c r="Q7" s="6">
        <v>35.200000000000003</v>
      </c>
      <c r="R7" s="6">
        <v>33</v>
      </c>
      <c r="S7" s="7"/>
      <c r="T7" s="10">
        <f>'Freight Calculator'!AA$7</f>
        <v>0.77195949033615041</v>
      </c>
      <c r="V7" s="6">
        <f t="shared" si="2"/>
        <v>39.6</v>
      </c>
      <c r="X7" s="6">
        <f t="shared" si="3"/>
        <v>30.569595817311559</v>
      </c>
      <c r="Y7" s="12"/>
      <c r="Z7" s="58">
        <f t="shared" si="6"/>
        <v>166.75</v>
      </c>
      <c r="AB7" s="60">
        <v>15</v>
      </c>
      <c r="AC7" s="55">
        <f>AB7+'Freight Calculator'!$E$45</f>
        <v>15</v>
      </c>
    </row>
    <row r="8" spans="1:29" x14ac:dyDescent="0.25">
      <c r="A8" s="53" t="s">
        <v>25</v>
      </c>
      <c r="B8" s="53">
        <v>2</v>
      </c>
      <c r="C8" s="53">
        <v>3</v>
      </c>
      <c r="D8" s="61" t="str">
        <f>'Freight Calculator'!$AB$7</f>
        <v>10/15/2021</v>
      </c>
      <c r="E8" s="61">
        <f t="shared" si="0"/>
        <v>44491</v>
      </c>
      <c r="F8" s="56">
        <f t="shared" si="4"/>
        <v>7</v>
      </c>
      <c r="G8" s="158">
        <f t="shared" si="1"/>
        <v>44484</v>
      </c>
      <c r="H8" s="158">
        <f t="shared" si="5"/>
        <v>44490</v>
      </c>
      <c r="I8" s="7">
        <v>305</v>
      </c>
      <c r="J8" s="7">
        <v>315</v>
      </c>
      <c r="L8" s="66" t="s">
        <v>46</v>
      </c>
      <c r="M8" s="6">
        <v>155</v>
      </c>
      <c r="N8" s="6">
        <v>42.9</v>
      </c>
      <c r="O8" s="6">
        <v>40.700000000000003</v>
      </c>
      <c r="P8" s="6">
        <v>38.5</v>
      </c>
      <c r="Q8" s="6">
        <v>37.4</v>
      </c>
      <c r="R8" s="6">
        <v>33</v>
      </c>
      <c r="S8" s="7"/>
      <c r="T8" s="10">
        <f>'Freight Calculator'!AA$7</f>
        <v>0.77195949033615041</v>
      </c>
      <c r="V8" s="6">
        <f t="shared" si="2"/>
        <v>42.9</v>
      </c>
      <c r="X8" s="6">
        <f t="shared" si="3"/>
        <v>33.117062135420852</v>
      </c>
      <c r="Y8" s="12"/>
      <c r="Z8" s="58">
        <f t="shared" si="6"/>
        <v>178.25</v>
      </c>
      <c r="AB8" s="60">
        <v>15</v>
      </c>
      <c r="AC8" s="55">
        <f>AB8+'Freight Calculator'!$E$45</f>
        <v>15</v>
      </c>
    </row>
    <row r="9" spans="1:29" x14ac:dyDescent="0.25">
      <c r="A9" s="53" t="s">
        <v>26</v>
      </c>
      <c r="B9" s="53">
        <v>2</v>
      </c>
      <c r="C9" s="53">
        <v>3</v>
      </c>
      <c r="D9" s="61" t="str">
        <f>'Freight Calculator'!$AB$7</f>
        <v>10/15/2021</v>
      </c>
      <c r="E9" s="61">
        <f t="shared" si="0"/>
        <v>44491</v>
      </c>
      <c r="F9" s="56">
        <f t="shared" si="4"/>
        <v>7</v>
      </c>
      <c r="G9" s="158">
        <f t="shared" si="1"/>
        <v>44484</v>
      </c>
      <c r="H9" s="158">
        <f t="shared" si="5"/>
        <v>44490</v>
      </c>
      <c r="I9" s="7">
        <v>305</v>
      </c>
      <c r="J9" s="7">
        <v>315</v>
      </c>
      <c r="L9" s="66" t="s">
        <v>41</v>
      </c>
      <c r="M9" s="6">
        <v>145</v>
      </c>
      <c r="N9" s="6">
        <v>34.1</v>
      </c>
      <c r="O9" s="6">
        <v>31.9</v>
      </c>
      <c r="P9" s="6">
        <v>30.8</v>
      </c>
      <c r="Q9" s="6">
        <v>28.6</v>
      </c>
      <c r="R9" s="6">
        <v>25.3</v>
      </c>
      <c r="S9" s="7"/>
      <c r="T9" s="10">
        <f>'Freight Calculator'!AA$7</f>
        <v>0.77195949033615041</v>
      </c>
      <c r="V9" s="6">
        <f t="shared" si="2"/>
        <v>34.1</v>
      </c>
      <c r="X9" s="6">
        <f t="shared" si="3"/>
        <v>26.323818620462731</v>
      </c>
      <c r="Y9" s="12"/>
      <c r="Z9" s="58">
        <f t="shared" si="6"/>
        <v>166.75</v>
      </c>
      <c r="AB9" s="60">
        <v>18</v>
      </c>
      <c r="AC9" s="55">
        <f>AB9+'Freight Calculator'!$E$45</f>
        <v>18</v>
      </c>
    </row>
    <row r="10" spans="1:29" x14ac:dyDescent="0.25">
      <c r="A10" s="53" t="s">
        <v>27</v>
      </c>
      <c r="B10" s="53">
        <v>2</v>
      </c>
      <c r="C10" s="53">
        <v>3</v>
      </c>
      <c r="D10" s="61" t="str">
        <f>'Freight Calculator'!$AB$7</f>
        <v>10/15/2021</v>
      </c>
      <c r="E10" s="61">
        <f t="shared" si="0"/>
        <v>44491</v>
      </c>
      <c r="F10" s="56">
        <f t="shared" si="4"/>
        <v>7</v>
      </c>
      <c r="G10" s="158">
        <f t="shared" si="1"/>
        <v>44484</v>
      </c>
      <c r="H10" s="158">
        <f t="shared" si="5"/>
        <v>44490</v>
      </c>
      <c r="I10" s="7">
        <v>305</v>
      </c>
      <c r="J10" s="7">
        <v>315</v>
      </c>
      <c r="L10" s="66" t="s">
        <v>42</v>
      </c>
      <c r="M10" s="6">
        <v>145</v>
      </c>
      <c r="N10" s="6">
        <v>39.6</v>
      </c>
      <c r="O10" s="6">
        <v>38.5</v>
      </c>
      <c r="P10" s="6">
        <v>36.299999999999997</v>
      </c>
      <c r="Q10" s="6">
        <v>35.200000000000003</v>
      </c>
      <c r="R10" s="6">
        <v>33</v>
      </c>
      <c r="S10" s="7"/>
      <c r="T10" s="10">
        <f>'Freight Calculator'!AA$7</f>
        <v>0.77195949033615041</v>
      </c>
      <c r="V10" s="6">
        <f t="shared" si="2"/>
        <v>39.6</v>
      </c>
      <c r="X10" s="6">
        <f t="shared" si="3"/>
        <v>30.569595817311559</v>
      </c>
      <c r="Y10" s="12"/>
      <c r="Z10" s="58">
        <f t="shared" si="6"/>
        <v>166.75</v>
      </c>
      <c r="AB10" s="60">
        <v>14</v>
      </c>
      <c r="AC10" s="55">
        <f>AB10+'Freight Calculator'!$E$45</f>
        <v>14</v>
      </c>
    </row>
    <row r="11" spans="1:29" x14ac:dyDescent="0.25">
      <c r="A11" s="53" t="s">
        <v>28</v>
      </c>
      <c r="B11" s="53">
        <v>2</v>
      </c>
      <c r="C11" s="53">
        <v>3</v>
      </c>
      <c r="D11" s="61" t="str">
        <f>'Freight Calculator'!$AB$7</f>
        <v>10/15/2021</v>
      </c>
      <c r="E11" s="61">
        <f t="shared" si="0"/>
        <v>44491</v>
      </c>
      <c r="F11" s="56">
        <f t="shared" si="4"/>
        <v>7</v>
      </c>
      <c r="G11" s="158">
        <f t="shared" si="1"/>
        <v>44484</v>
      </c>
      <c r="H11" s="158">
        <f t="shared" si="5"/>
        <v>44490</v>
      </c>
      <c r="I11" s="7">
        <v>305</v>
      </c>
      <c r="J11" s="7">
        <v>315</v>
      </c>
      <c r="L11" s="66" t="s">
        <v>58</v>
      </c>
      <c r="M11" s="6"/>
      <c r="N11" s="6"/>
      <c r="O11" s="6"/>
      <c r="P11" s="6"/>
      <c r="Q11" s="6"/>
      <c r="R11" s="6"/>
      <c r="S11" s="7"/>
      <c r="T11" s="10">
        <f>'Freight Calculator'!AA$7</f>
        <v>0.77195949033615041</v>
      </c>
      <c r="V11" s="6">
        <f t="shared" si="2"/>
        <v>0</v>
      </c>
      <c r="X11" s="6">
        <f t="shared" ref="X11:X13" si="7">V11*T11</f>
        <v>0</v>
      </c>
      <c r="Y11" s="12"/>
      <c r="Z11" s="58">
        <f t="shared" si="6"/>
        <v>0</v>
      </c>
      <c r="AB11" s="60">
        <v>11</v>
      </c>
      <c r="AC11" s="55">
        <f>AB11+'Freight Calculator'!$E$45</f>
        <v>11</v>
      </c>
    </row>
    <row r="12" spans="1:29" x14ac:dyDescent="0.25">
      <c r="A12" s="53" t="s">
        <v>29</v>
      </c>
      <c r="B12" s="53">
        <v>2</v>
      </c>
      <c r="C12" s="53">
        <v>3</v>
      </c>
      <c r="D12" s="61" t="str">
        <f>'Freight Calculator'!$AB$7</f>
        <v>10/15/2021</v>
      </c>
      <c r="E12" s="61">
        <f t="shared" si="0"/>
        <v>44491</v>
      </c>
      <c r="F12" s="56">
        <f t="shared" si="4"/>
        <v>7</v>
      </c>
      <c r="G12" s="158">
        <f t="shared" si="1"/>
        <v>44484</v>
      </c>
      <c r="H12" s="158">
        <f t="shared" si="5"/>
        <v>44490</v>
      </c>
      <c r="I12" s="7">
        <v>305</v>
      </c>
      <c r="J12" s="7">
        <v>315</v>
      </c>
      <c r="L12" s="66" t="s">
        <v>39</v>
      </c>
      <c r="M12" s="6">
        <v>155</v>
      </c>
      <c r="N12" s="6">
        <v>42.9</v>
      </c>
      <c r="O12" s="6">
        <v>40.700000000000003</v>
      </c>
      <c r="P12" s="6">
        <v>38.5</v>
      </c>
      <c r="Q12" s="6">
        <v>37.4</v>
      </c>
      <c r="R12" s="6">
        <v>33</v>
      </c>
      <c r="T12" s="10">
        <f>'Freight Calculator'!AA$7</f>
        <v>0.77195949033615041</v>
      </c>
      <c r="V12" s="6">
        <f t="shared" si="2"/>
        <v>42.9</v>
      </c>
      <c r="X12" s="6">
        <f t="shared" si="7"/>
        <v>33.117062135420852</v>
      </c>
      <c r="Y12" s="12"/>
      <c r="Z12" s="58">
        <f t="shared" si="6"/>
        <v>178.25</v>
      </c>
      <c r="AB12" s="60">
        <v>15</v>
      </c>
      <c r="AC12" s="55">
        <f>AB12+'Freight Calculator'!$E$45</f>
        <v>15</v>
      </c>
    </row>
    <row r="13" spans="1:29" x14ac:dyDescent="0.25">
      <c r="A13" s="53" t="s">
        <v>74</v>
      </c>
      <c r="B13" s="53">
        <v>2</v>
      </c>
      <c r="C13" s="53">
        <v>3</v>
      </c>
      <c r="D13" s="61" t="str">
        <f>'Freight Calculator'!$AB$7</f>
        <v>10/15/2021</v>
      </c>
      <c r="E13" s="61">
        <f t="shared" si="0"/>
        <v>44491</v>
      </c>
      <c r="F13" s="56">
        <f t="shared" si="4"/>
        <v>7</v>
      </c>
      <c r="G13" s="158">
        <f t="shared" si="1"/>
        <v>44484</v>
      </c>
      <c r="H13" s="158">
        <f t="shared" si="5"/>
        <v>44490</v>
      </c>
      <c r="I13" s="7">
        <v>305</v>
      </c>
      <c r="J13" s="7">
        <v>315</v>
      </c>
      <c r="L13" s="66" t="s">
        <v>120</v>
      </c>
      <c r="M13" s="6">
        <v>155</v>
      </c>
      <c r="N13" s="6">
        <v>62</v>
      </c>
      <c r="O13" s="6">
        <v>59</v>
      </c>
      <c r="P13" s="6">
        <v>55.000000000000007</v>
      </c>
      <c r="Q13" s="6">
        <v>52</v>
      </c>
      <c r="R13" s="6">
        <v>52</v>
      </c>
      <c r="T13" s="10">
        <f>'Freight Calculator'!AA$7</f>
        <v>0.77195949033615041</v>
      </c>
      <c r="V13" s="6">
        <f t="shared" si="2"/>
        <v>62</v>
      </c>
      <c r="X13" s="6">
        <f t="shared" si="7"/>
        <v>47.861488400841324</v>
      </c>
      <c r="Z13" s="58">
        <f t="shared" si="6"/>
        <v>178.25</v>
      </c>
      <c r="AB13" s="10">
        <v>18</v>
      </c>
      <c r="AC13" s="55">
        <f>AB13+'Freight Calculator'!$E$45</f>
        <v>18</v>
      </c>
    </row>
    <row r="14" spans="1:29" x14ac:dyDescent="0.25">
      <c r="A14" s="53" t="s">
        <v>75</v>
      </c>
      <c r="B14" s="53">
        <v>2</v>
      </c>
      <c r="C14" s="53">
        <v>3</v>
      </c>
      <c r="D14" s="61" t="str">
        <f>'Freight Calculator'!$AB$7</f>
        <v>10/15/2021</v>
      </c>
      <c r="E14" s="61">
        <f t="shared" si="0"/>
        <v>44491</v>
      </c>
      <c r="F14" s="56">
        <f t="shared" si="4"/>
        <v>7</v>
      </c>
      <c r="G14" s="158">
        <f t="shared" si="1"/>
        <v>44484</v>
      </c>
      <c r="H14" s="158">
        <f t="shared" si="5"/>
        <v>44490</v>
      </c>
      <c r="I14" s="7">
        <v>305</v>
      </c>
      <c r="J14" s="7">
        <v>315</v>
      </c>
      <c r="N14" s="3" t="s">
        <v>59</v>
      </c>
      <c r="O14" s="3" t="s">
        <v>60</v>
      </c>
      <c r="P14" s="3" t="s">
        <v>61</v>
      </c>
      <c r="Q14" s="3" t="s">
        <v>62</v>
      </c>
      <c r="R14" s="3" t="s">
        <v>63</v>
      </c>
    </row>
    <row r="15" spans="1:29" x14ac:dyDescent="0.25">
      <c r="A15" s="53" t="s">
        <v>76</v>
      </c>
      <c r="B15" s="53">
        <v>2</v>
      </c>
      <c r="C15" s="53">
        <v>3</v>
      </c>
      <c r="D15" s="61" t="str">
        <f>'Freight Calculator'!$AB$7</f>
        <v>10/15/2021</v>
      </c>
      <c r="E15" s="61">
        <f t="shared" si="0"/>
        <v>44491</v>
      </c>
      <c r="F15" s="56">
        <f t="shared" si="4"/>
        <v>7</v>
      </c>
      <c r="G15" s="158">
        <f t="shared" si="1"/>
        <v>44484</v>
      </c>
      <c r="H15" s="158">
        <f t="shared" si="5"/>
        <v>44490</v>
      </c>
      <c r="I15" s="7">
        <v>305</v>
      </c>
      <c r="J15" s="7">
        <v>315</v>
      </c>
      <c r="N15" s="3">
        <v>999</v>
      </c>
      <c r="O15" s="3">
        <v>2999</v>
      </c>
      <c r="P15" s="3">
        <v>4999</v>
      </c>
      <c r="Q15" s="3">
        <v>9999</v>
      </c>
      <c r="R15" s="3">
        <v>10000</v>
      </c>
    </row>
    <row r="16" spans="1:29" x14ac:dyDescent="0.25">
      <c r="A16" s="53" t="s">
        <v>30</v>
      </c>
      <c r="B16" s="53">
        <v>2</v>
      </c>
      <c r="C16" s="53">
        <v>5</v>
      </c>
      <c r="D16" s="61" t="str">
        <f>'Freight Calculator'!$AB$7</f>
        <v>10/15/2021</v>
      </c>
      <c r="E16" s="61">
        <f t="shared" si="0"/>
        <v>44491</v>
      </c>
      <c r="F16" s="56">
        <f>WEEKDAY(D16+7-3)</f>
        <v>3</v>
      </c>
      <c r="G16" s="158">
        <f t="shared" si="1"/>
        <v>44488</v>
      </c>
      <c r="H16" s="157">
        <f>G16+9</f>
        <v>44497</v>
      </c>
      <c r="I16" s="7">
        <v>305</v>
      </c>
      <c r="J16" s="7">
        <v>315</v>
      </c>
      <c r="N16" s="3">
        <f>N15/100</f>
        <v>9.99</v>
      </c>
      <c r="O16" s="3">
        <f t="shared" ref="O16:R16" si="8">O15/100</f>
        <v>29.99</v>
      </c>
      <c r="P16" s="3">
        <f t="shared" si="8"/>
        <v>49.99</v>
      </c>
      <c r="Q16" s="3">
        <f t="shared" si="8"/>
        <v>99.99</v>
      </c>
      <c r="R16" s="3">
        <f t="shared" si="8"/>
        <v>100</v>
      </c>
    </row>
    <row r="17" spans="1:17" x14ac:dyDescent="0.25">
      <c r="A17" s="85" t="s">
        <v>111</v>
      </c>
      <c r="B17" s="85">
        <v>3</v>
      </c>
      <c r="C17" s="85">
        <v>3</v>
      </c>
      <c r="D17" s="61" t="str">
        <f>'Freight Calculator'!$AB$7</f>
        <v>10/15/2021</v>
      </c>
      <c r="E17" s="61">
        <f t="shared" si="0"/>
        <v>44491</v>
      </c>
      <c r="F17" s="56">
        <f t="shared" si="4"/>
        <v>7</v>
      </c>
      <c r="G17" s="158">
        <f t="shared" si="1"/>
        <v>44484</v>
      </c>
      <c r="H17" s="158">
        <f t="shared" ref="H17:H19" si="9">G17+6</f>
        <v>44490</v>
      </c>
      <c r="I17" s="162">
        <v>340</v>
      </c>
      <c r="J17" s="162">
        <v>350</v>
      </c>
    </row>
    <row r="18" spans="1:17" ht="14.45" customHeight="1" x14ac:dyDescent="0.25">
      <c r="A18" s="85" t="s">
        <v>112</v>
      </c>
      <c r="B18" s="85">
        <v>3</v>
      </c>
      <c r="C18" s="85">
        <v>3</v>
      </c>
      <c r="D18" s="61" t="str">
        <f>'Freight Calculator'!$AB$7</f>
        <v>10/15/2021</v>
      </c>
      <c r="E18" s="61">
        <f t="shared" si="0"/>
        <v>44491</v>
      </c>
      <c r="F18" s="56">
        <f t="shared" si="4"/>
        <v>7</v>
      </c>
      <c r="G18" s="158">
        <f t="shared" si="1"/>
        <v>44484</v>
      </c>
      <c r="H18" s="158">
        <f t="shared" si="9"/>
        <v>44490</v>
      </c>
      <c r="I18" s="162">
        <v>340</v>
      </c>
      <c r="J18" s="162">
        <v>350</v>
      </c>
    </row>
    <row r="19" spans="1:17" x14ac:dyDescent="0.25">
      <c r="A19" s="85" t="s">
        <v>113</v>
      </c>
      <c r="B19" s="85">
        <v>3</v>
      </c>
      <c r="C19" s="85">
        <v>3</v>
      </c>
      <c r="D19" s="61" t="str">
        <f>'Freight Calculator'!$AB$7</f>
        <v>10/15/2021</v>
      </c>
      <c r="E19" s="61">
        <f t="shared" si="0"/>
        <v>44491</v>
      </c>
      <c r="F19" s="56">
        <f t="shared" si="4"/>
        <v>7</v>
      </c>
      <c r="G19" s="158">
        <f t="shared" si="1"/>
        <v>44484</v>
      </c>
      <c r="H19" s="158">
        <f t="shared" si="9"/>
        <v>44490</v>
      </c>
      <c r="I19" s="162">
        <v>340</v>
      </c>
      <c r="J19" s="162">
        <v>350</v>
      </c>
    </row>
    <row r="20" spans="1:17" x14ac:dyDescent="0.25">
      <c r="A20" s="85" t="s">
        <v>114</v>
      </c>
      <c r="B20" s="85">
        <v>4</v>
      </c>
      <c r="C20" s="85">
        <v>5</v>
      </c>
      <c r="D20" s="61" t="str">
        <f>'Freight Calculator'!$AB$7</f>
        <v>10/15/2021</v>
      </c>
      <c r="E20" s="61">
        <f t="shared" si="0"/>
        <v>44491</v>
      </c>
      <c r="F20" s="56">
        <f>WEEKDAY(D20+7-4)</f>
        <v>2</v>
      </c>
      <c r="G20" s="158">
        <f t="shared" si="1"/>
        <v>44489</v>
      </c>
      <c r="H20" s="157">
        <f>G20+8</f>
        <v>44497</v>
      </c>
      <c r="I20" s="162">
        <v>400</v>
      </c>
      <c r="J20" s="162">
        <v>410</v>
      </c>
      <c r="K20" s="85"/>
    </row>
    <row r="21" spans="1:17" x14ac:dyDescent="0.25">
      <c r="A21" s="85" t="s">
        <v>116</v>
      </c>
      <c r="B21" s="85">
        <v>5</v>
      </c>
      <c r="C21" s="85">
        <v>5</v>
      </c>
      <c r="D21" s="61" t="str">
        <f>'Freight Calculator'!$AB$7</f>
        <v>10/15/2021</v>
      </c>
      <c r="E21" s="61">
        <f t="shared" si="0"/>
        <v>44491</v>
      </c>
      <c r="F21" s="56">
        <f t="shared" ref="F21:F22" si="10">WEEKDAY(D21+7-3)</f>
        <v>3</v>
      </c>
      <c r="G21" s="158">
        <f t="shared" si="1"/>
        <v>44488</v>
      </c>
      <c r="H21" s="157">
        <f t="shared" ref="H21:H22" si="11">G21+9</f>
        <v>44497</v>
      </c>
      <c r="I21" s="162">
        <v>421</v>
      </c>
      <c r="J21" s="162">
        <v>431</v>
      </c>
      <c r="K21" s="85"/>
    </row>
    <row r="22" spans="1:17" x14ac:dyDescent="0.25">
      <c r="A22" s="85" t="s">
        <v>117</v>
      </c>
      <c r="B22" s="85">
        <v>5</v>
      </c>
      <c r="C22" s="85">
        <v>5</v>
      </c>
      <c r="D22" s="61" t="str">
        <f>'Freight Calculator'!$AB$7</f>
        <v>10/15/2021</v>
      </c>
      <c r="E22" s="61">
        <f t="shared" si="0"/>
        <v>44491</v>
      </c>
      <c r="F22" s="56">
        <f t="shared" si="10"/>
        <v>3</v>
      </c>
      <c r="G22" s="158">
        <f t="shared" si="1"/>
        <v>44488</v>
      </c>
      <c r="H22" s="157">
        <f t="shared" si="11"/>
        <v>44497</v>
      </c>
      <c r="I22" s="162">
        <v>421</v>
      </c>
      <c r="J22" s="162">
        <v>431</v>
      </c>
      <c r="K22" s="85"/>
    </row>
    <row r="23" spans="1:17" x14ac:dyDescent="0.25">
      <c r="A23" s="85"/>
      <c r="B23" s="85"/>
      <c r="C23" s="85"/>
      <c r="D23" s="61"/>
      <c r="E23" s="61"/>
      <c r="F23" s="155"/>
      <c r="G23" s="156"/>
      <c r="H23" s="62"/>
      <c r="K23" s="85"/>
    </row>
    <row r="24" spans="1:17" x14ac:dyDescent="0.25">
      <c r="K24" s="85"/>
    </row>
    <row r="25" spans="1:17" x14ac:dyDescent="0.25">
      <c r="B25" s="82"/>
      <c r="K25" s="85"/>
      <c r="M25" s="3">
        <f>30*12</f>
        <v>360</v>
      </c>
      <c r="O25" s="3" t="s">
        <v>115</v>
      </c>
      <c r="P25" s="3">
        <v>4</v>
      </c>
      <c r="Q25" s="3">
        <v>287</v>
      </c>
    </row>
    <row r="26" spans="1:17" x14ac:dyDescent="0.25">
      <c r="B26" s="83" t="s">
        <v>102</v>
      </c>
      <c r="C26" s="1" t="s">
        <v>107</v>
      </c>
      <c r="E26" s="53" t="s">
        <v>103</v>
      </c>
      <c r="K26" s="85"/>
      <c r="M26" s="3">
        <f>M25*200</f>
        <v>72000</v>
      </c>
    </row>
    <row r="27" spans="1:17" x14ac:dyDescent="0.25">
      <c r="A27" s="53" t="s">
        <v>106</v>
      </c>
      <c r="E27" s="53">
        <f>VLOOKUP('Freight Calculator'!C16,'Trucking Rates'!A27:C34,3,FALSE)</f>
        <v>0.2</v>
      </c>
      <c r="F27" s="53">
        <f>E27+1</f>
        <v>1.2</v>
      </c>
    </row>
    <row r="28" spans="1:17" x14ac:dyDescent="0.25">
      <c r="A28" s="53" t="s">
        <v>96</v>
      </c>
      <c r="B28" s="53">
        <v>0.12</v>
      </c>
      <c r="C28" s="72">
        <f>B28+0.07</f>
        <v>0.19</v>
      </c>
    </row>
    <row r="29" spans="1:17" x14ac:dyDescent="0.25">
      <c r="A29" s="53" t="s">
        <v>97</v>
      </c>
      <c r="B29" s="53">
        <v>0.11</v>
      </c>
      <c r="C29" s="85">
        <f t="shared" ref="C29:C33" si="12">B29+0.07</f>
        <v>0.18</v>
      </c>
    </row>
    <row r="30" spans="1:17" x14ac:dyDescent="0.25">
      <c r="A30" s="53" t="s">
        <v>98</v>
      </c>
      <c r="B30" s="53">
        <v>0.22</v>
      </c>
      <c r="C30" s="85">
        <f t="shared" si="12"/>
        <v>0.29000000000000004</v>
      </c>
    </row>
    <row r="31" spans="1:17" x14ac:dyDescent="0.25">
      <c r="A31" s="53" t="s">
        <v>99</v>
      </c>
      <c r="B31" s="53">
        <v>0.11</v>
      </c>
      <c r="C31" s="85">
        <f t="shared" si="12"/>
        <v>0.18</v>
      </c>
    </row>
    <row r="32" spans="1:17" x14ac:dyDescent="0.25">
      <c r="A32" s="53" t="s">
        <v>100</v>
      </c>
      <c r="B32" s="53">
        <v>0.12</v>
      </c>
      <c r="C32" s="85">
        <f t="shared" si="12"/>
        <v>0.19</v>
      </c>
    </row>
    <row r="33" spans="1:3" x14ac:dyDescent="0.25">
      <c r="A33" s="53" t="s">
        <v>101</v>
      </c>
      <c r="B33" s="53">
        <v>0.13</v>
      </c>
      <c r="C33" s="85">
        <f t="shared" si="12"/>
        <v>0.2</v>
      </c>
    </row>
    <row r="34" spans="1:3" x14ac:dyDescent="0.25">
      <c r="A34" s="53" t="s">
        <v>108</v>
      </c>
      <c r="B34" s="53">
        <v>0.05</v>
      </c>
      <c r="C34" s="84">
        <v>0.08</v>
      </c>
    </row>
  </sheetData>
  <sheetProtection algorithmName="SHA-512" hashValue="zTBNN17jw9NhLLj9SmWCQCAs1wB/tEs1m7VeeiL7C1ReyxQwa9s0bZ4IrRddInkUjC3pn69m8KA+MQZ2VGbDzg==" saltValue="PStgzdsQKkpssHTkuIsZL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AE67E1D783994089873F1224EFE656" ma:contentTypeVersion="13" ma:contentTypeDescription="Create a new document." ma:contentTypeScope="" ma:versionID="609432835b0b249a958fe702a3a152f6">
  <xsd:schema xmlns:xsd="http://www.w3.org/2001/XMLSchema" xmlns:xs="http://www.w3.org/2001/XMLSchema" xmlns:p="http://schemas.microsoft.com/office/2006/metadata/properties" xmlns:ns3="9fb7681b-23fa-45c7-832e-74a91c413e51" xmlns:ns4="036484b4-b85f-4232-ab10-1c4b3dca38ea" targetNamespace="http://schemas.microsoft.com/office/2006/metadata/properties" ma:root="true" ma:fieldsID="c5ddcced01e32bc8ac91aad27dceb40a" ns3:_="" ns4:_="">
    <xsd:import namespace="9fb7681b-23fa-45c7-832e-74a91c413e51"/>
    <xsd:import namespace="036484b4-b85f-4232-ab10-1c4b3dca38e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7681b-23fa-45c7-832e-74a91c413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6484b4-b85f-4232-ab10-1c4b3dca38e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A34CAB-0E85-488D-B342-16A64236C488}">
  <ds:schemaRefs>
    <ds:schemaRef ds:uri="http://schemas.microsoft.com/sharepoint/v3/contenttype/forms"/>
  </ds:schemaRefs>
</ds:datastoreItem>
</file>

<file path=customXml/itemProps2.xml><?xml version="1.0" encoding="utf-8"?>
<ds:datastoreItem xmlns:ds="http://schemas.openxmlformats.org/officeDocument/2006/customXml" ds:itemID="{6FCE0770-36AE-4814-9E6C-A711B8C73ED5}">
  <ds:schemaRefs>
    <ds:schemaRef ds:uri="http://purl.org/dc/elements/1.1/"/>
    <ds:schemaRef ds:uri="http://schemas.microsoft.com/office/2006/metadata/properties"/>
    <ds:schemaRef ds:uri="036484b4-b85f-4232-ab10-1c4b3dca38ea"/>
    <ds:schemaRef ds:uri="9fb7681b-23fa-45c7-832e-74a91c413e5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5DF5828-F550-4AF6-88C6-704E0744C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b7681b-23fa-45c7-832e-74a91c413e51"/>
    <ds:schemaRef ds:uri="036484b4-b85f-4232-ab10-1c4b3dca3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Freight Calculator</vt:lpstr>
      <vt:lpstr>Trucking Rates</vt:lpstr>
    </vt:vector>
  </TitlesOfParts>
  <Company>MatsonInc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Elias at CER (Remote)</dc:creator>
  <cp:lastModifiedBy>George Elias at CER (Remote)</cp:lastModifiedBy>
  <dcterms:created xsi:type="dcterms:W3CDTF">2020-04-27T15:31:46Z</dcterms:created>
  <dcterms:modified xsi:type="dcterms:W3CDTF">2021-10-08T18:04:35Z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0x010100E2AE67E1D783994089873F1224EFE656</vt:lpwstr>
  </property>
</Properties>
</file>